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eirw\Desktop\"/>
    </mc:Choice>
  </mc:AlternateContent>
  <bookViews>
    <workbookView xWindow="0" yWindow="0" windowWidth="20490" windowHeight="8340"/>
  </bookViews>
  <sheets>
    <sheet name="FORCE DEFLECTION" sheetId="1" r:id="rId1"/>
    <sheet name="WIND FORCE DEFLECTION" sheetId="2" r:id="rId2"/>
  </sheets>
  <definedNames>
    <definedName name="a">'FORCE DEFLECTION'!$D$56</definedName>
    <definedName name="b">'FORCE DEFLECTION'!$D$57</definedName>
    <definedName name="D">'FORCE DEFLECTION'!$E$5</definedName>
    <definedName name="Darcsec">'FORCE DEFLECTION'!$E$9</definedName>
    <definedName name="DF">'FORCE DEFLECTION'!$E$15</definedName>
    <definedName name="dia">'FORCE DEFLECTION'!$E$13</definedName>
    <definedName name="Econcrete">'FORCE DEFLECTION'!$E$7</definedName>
    <definedName name="Esteel">'FORCE DEFLECTION'!$E$6</definedName>
    <definedName name="H">'FORCE DEFLECTION'!$E$4</definedName>
    <definedName name="Hdepth">'FORCE DEFLECTION'!$E$8</definedName>
    <definedName name="Ipier">'FORCE DEFLECTION'!$E$14</definedName>
    <definedName name="L">'FORCE DEFLECTION'!$E$17</definedName>
    <definedName name="pi">'FORCE DEFLECTION'!$E$10</definedName>
    <definedName name="Rad">'FORCE DEFLECTION'!$E$11</definedName>
    <definedName name="RF">'FORCE DEFLECTION'!$E$16</definedName>
    <definedName name="t">'FORCE DEFLECTION'!$E$12</definedName>
  </definedNames>
  <calcPr calcId="162913"/>
</workbook>
</file>

<file path=xl/calcChain.xml><?xml version="1.0" encoding="utf-8"?>
<calcChain xmlns="http://schemas.openxmlformats.org/spreadsheetml/2006/main">
  <c r="G23" i="2" l="1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H18" i="2"/>
  <c r="G18" i="2"/>
  <c r="D18" i="2"/>
  <c r="G16" i="2"/>
  <c r="H16" i="2" s="1"/>
  <c r="D16" i="2"/>
  <c r="G15" i="2"/>
  <c r="H15" i="2" s="1"/>
  <c r="D15" i="2"/>
  <c r="G14" i="2"/>
  <c r="H14" i="2" s="1"/>
  <c r="D14" i="2"/>
  <c r="H12" i="2"/>
  <c r="G12" i="2"/>
  <c r="D12" i="2"/>
  <c r="G11" i="2"/>
  <c r="H11" i="2" s="1"/>
  <c r="D11" i="2"/>
  <c r="G10" i="2"/>
  <c r="H10" i="2" s="1"/>
  <c r="D10" i="2"/>
  <c r="R9" i="2"/>
  <c r="G8" i="2"/>
  <c r="H8" i="2" s="1"/>
  <c r="D8" i="2"/>
  <c r="O7" i="2"/>
  <c r="S7" i="2" s="1"/>
  <c r="H7" i="2"/>
  <c r="G7" i="2"/>
  <c r="D7" i="2"/>
  <c r="P7" i="2" l="1"/>
  <c r="E11" i="1"/>
  <c r="E9" i="1" s="1"/>
  <c r="E14" i="1"/>
  <c r="D56" i="1"/>
  <c r="D57" i="1" s="1"/>
  <c r="C130" i="1"/>
  <c r="D130" i="1"/>
  <c r="C125" i="1"/>
  <c r="D125" i="1"/>
  <c r="C126" i="1"/>
  <c r="D126" i="1"/>
  <c r="C127" i="1"/>
  <c r="D127" i="1"/>
  <c r="C128" i="1"/>
  <c r="D128" i="1"/>
  <c r="C129" i="1"/>
  <c r="D129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11" i="1"/>
  <c r="D111" i="1"/>
  <c r="E67" i="1"/>
  <c r="C112" i="1"/>
  <c r="D112" i="1"/>
  <c r="E68" i="1"/>
  <c r="C113" i="1"/>
  <c r="D113" i="1"/>
  <c r="E69" i="1"/>
  <c r="C114" i="1"/>
  <c r="D114" i="1"/>
  <c r="E70" i="1"/>
  <c r="C115" i="1"/>
  <c r="D115" i="1"/>
  <c r="E71" i="1"/>
  <c r="C116" i="1"/>
  <c r="D116" i="1"/>
  <c r="E72" i="1"/>
  <c r="D110" i="1"/>
  <c r="C110" i="1"/>
  <c r="E73" i="1"/>
  <c r="E66" i="1"/>
  <c r="G60" i="1"/>
  <c r="E15" i="1" l="1"/>
  <c r="F79" i="1" s="1"/>
  <c r="G79" i="1" s="1"/>
  <c r="H79" i="1" s="1"/>
  <c r="E112" i="1" s="1"/>
  <c r="F80" i="1" l="1"/>
  <c r="G80" i="1" s="1"/>
  <c r="H80" i="1" s="1"/>
  <c r="E113" i="1" s="1"/>
  <c r="F90" i="1"/>
  <c r="G90" i="1" s="1"/>
  <c r="H90" i="1" s="1"/>
  <c r="E123" i="1" s="1"/>
  <c r="F85" i="1"/>
  <c r="G85" i="1" s="1"/>
  <c r="H85" i="1" s="1"/>
  <c r="E118" i="1" s="1"/>
  <c r="F97" i="1"/>
  <c r="G97" i="1" s="1"/>
  <c r="H97" i="1" s="1"/>
  <c r="E130" i="1" s="1"/>
  <c r="F89" i="1"/>
  <c r="G89" i="1" s="1"/>
  <c r="H89" i="1" s="1"/>
  <c r="E122" i="1" s="1"/>
  <c r="F94" i="1"/>
  <c r="G94" i="1" s="1"/>
  <c r="H94" i="1" s="1"/>
  <c r="E127" i="1" s="1"/>
  <c r="F93" i="1"/>
  <c r="G93" i="1" s="1"/>
  <c r="H93" i="1" s="1"/>
  <c r="E126" i="1" s="1"/>
  <c r="F84" i="1"/>
  <c r="G84" i="1" s="1"/>
  <c r="H84" i="1" s="1"/>
  <c r="E117" i="1" s="1"/>
  <c r="F96" i="1"/>
  <c r="G96" i="1" s="1"/>
  <c r="H96" i="1" s="1"/>
  <c r="E129" i="1" s="1"/>
  <c r="F92" i="1"/>
  <c r="G92" i="1" s="1"/>
  <c r="H92" i="1" s="1"/>
  <c r="E125" i="1" s="1"/>
  <c r="F88" i="1"/>
  <c r="G88" i="1" s="1"/>
  <c r="H88" i="1" s="1"/>
  <c r="E121" i="1" s="1"/>
  <c r="D43" i="1"/>
  <c r="E43" i="1" s="1"/>
  <c r="F43" i="1" s="1"/>
  <c r="G43" i="1" s="1"/>
  <c r="H43" i="1" s="1"/>
  <c r="F95" i="1"/>
  <c r="G95" i="1" s="1"/>
  <c r="H95" i="1" s="1"/>
  <c r="E128" i="1" s="1"/>
  <c r="F91" i="1"/>
  <c r="G91" i="1" s="1"/>
  <c r="H91" i="1" s="1"/>
  <c r="E124" i="1" s="1"/>
  <c r="F86" i="1"/>
  <c r="G86" i="1" s="1"/>
  <c r="H86" i="1" s="1"/>
  <c r="E119" i="1" s="1"/>
  <c r="F77" i="1"/>
  <c r="G77" i="1" s="1"/>
  <c r="H77" i="1" s="1"/>
  <c r="F100" i="1"/>
  <c r="G100" i="1" s="1"/>
  <c r="H100" i="1" s="1"/>
  <c r="F87" i="1"/>
  <c r="G87" i="1" s="1"/>
  <c r="H87" i="1" s="1"/>
  <c r="E120" i="1" s="1"/>
  <c r="E16" i="1"/>
  <c r="F105" i="1"/>
  <c r="G105" i="1" s="1"/>
  <c r="H105" i="1" s="1"/>
  <c r="F106" i="1"/>
  <c r="G106" i="1" s="1"/>
  <c r="H106" i="1" s="1"/>
  <c r="D28" i="1"/>
  <c r="F102" i="1"/>
  <c r="G102" i="1" s="1"/>
  <c r="H102" i="1" s="1"/>
  <c r="D39" i="1"/>
  <c r="E39" i="1" s="1"/>
  <c r="F39" i="1" s="1"/>
  <c r="G39" i="1" s="1"/>
  <c r="H39" i="1" s="1"/>
  <c r="F81" i="1"/>
  <c r="G81" i="1" s="1"/>
  <c r="H81" i="1" s="1"/>
  <c r="E114" i="1" s="1"/>
  <c r="D42" i="1"/>
  <c r="E42" i="1" s="1"/>
  <c r="F42" i="1" s="1"/>
  <c r="G42" i="1" s="1"/>
  <c r="H42" i="1" s="1"/>
  <c r="F78" i="1"/>
  <c r="G78" i="1" s="1"/>
  <c r="H78" i="1" s="1"/>
  <c r="E111" i="1" s="1"/>
  <c r="F103" i="1"/>
  <c r="G103" i="1" s="1"/>
  <c r="H103" i="1" s="1"/>
  <c r="F99" i="1"/>
  <c r="G99" i="1" s="1"/>
  <c r="H99" i="1" s="1"/>
  <c r="D44" i="1"/>
  <c r="E44" i="1" s="1"/>
  <c r="F44" i="1" s="1"/>
  <c r="G44" i="1" s="1"/>
  <c r="H44" i="1" s="1"/>
  <c r="D27" i="1"/>
  <c r="F104" i="1"/>
  <c r="G104" i="1" s="1"/>
  <c r="H104" i="1" s="1"/>
  <c r="D40" i="1"/>
  <c r="E40" i="1" s="1"/>
  <c r="F40" i="1" s="1"/>
  <c r="G40" i="1" s="1"/>
  <c r="H40" i="1" s="1"/>
  <c r="D29" i="1"/>
  <c r="F82" i="1"/>
  <c r="G82" i="1" s="1"/>
  <c r="H82" i="1" s="1"/>
  <c r="E115" i="1" s="1"/>
  <c r="F83" i="1"/>
  <c r="G83" i="1" s="1"/>
  <c r="H83" i="1" s="1"/>
  <c r="E116" i="1" s="1"/>
  <c r="F101" i="1"/>
  <c r="G101" i="1" s="1"/>
  <c r="H101" i="1" s="1"/>
  <c r="D41" i="1"/>
  <c r="E41" i="1" s="1"/>
  <c r="F41" i="1" s="1"/>
  <c r="G41" i="1" s="1"/>
  <c r="H41" i="1" s="1"/>
  <c r="D37" i="1"/>
  <c r="F107" i="1"/>
  <c r="G107" i="1" s="1"/>
  <c r="H107" i="1" s="1"/>
  <c r="D45" i="1"/>
  <c r="E45" i="1" s="1"/>
  <c r="F45" i="1" s="1"/>
  <c r="G45" i="1" s="1"/>
  <c r="H45" i="1" s="1"/>
  <c r="D36" i="1"/>
  <c r="G70" i="1"/>
  <c r="I71" i="1"/>
  <c r="G67" i="1"/>
  <c r="G68" i="1"/>
  <c r="I69" i="1"/>
  <c r="G72" i="1"/>
  <c r="I73" i="1"/>
  <c r="H72" i="1"/>
  <c r="F68" i="1"/>
  <c r="F70" i="1"/>
  <c r="I66" i="1"/>
  <c r="F71" i="1"/>
  <c r="H68" i="1"/>
  <c r="H70" i="1"/>
  <c r="F66" i="1"/>
  <c r="I68" i="1"/>
  <c r="G71" i="1"/>
  <c r="I72" i="1"/>
  <c r="G69" i="1"/>
  <c r="I67" i="1"/>
  <c r="F72" i="1"/>
  <c r="F69" i="1"/>
  <c r="I70" i="1"/>
  <c r="H69" i="1"/>
  <c r="H66" i="1"/>
  <c r="F73" i="1"/>
  <c r="F67" i="1"/>
  <c r="G73" i="1"/>
  <c r="H71" i="1"/>
  <c r="H73" i="1"/>
  <c r="H67" i="1"/>
  <c r="G66" i="1"/>
  <c r="J66" i="1" l="1"/>
  <c r="K66" i="1" s="1"/>
  <c r="J73" i="1"/>
  <c r="K73" i="1" s="1"/>
  <c r="F130" i="1" s="1"/>
  <c r="H130" i="1" s="1"/>
  <c r="J69" i="1"/>
  <c r="K69" i="1" s="1"/>
  <c r="F126" i="1" s="1"/>
  <c r="H126" i="1" s="1"/>
  <c r="J68" i="1"/>
  <c r="K68" i="1" s="1"/>
  <c r="F119" i="1"/>
  <c r="H119" i="1" s="1"/>
  <c r="J67" i="1"/>
  <c r="K67" i="1" s="1"/>
  <c r="J72" i="1"/>
  <c r="K72" i="1" s="1"/>
  <c r="J71" i="1"/>
  <c r="K71" i="1" s="1"/>
  <c r="J70" i="1"/>
  <c r="K70" i="1" s="1"/>
  <c r="F113" i="1" l="1"/>
  <c r="H113" i="1" s="1"/>
  <c r="F123" i="1"/>
  <c r="H123" i="1" s="1"/>
  <c r="F129" i="1"/>
  <c r="H129" i="1" s="1"/>
  <c r="F116" i="1"/>
  <c r="H116" i="1" s="1"/>
  <c r="F122" i="1"/>
  <c r="H122" i="1" s="1"/>
  <c r="F117" i="1"/>
  <c r="H117" i="1" s="1"/>
  <c r="F111" i="1"/>
  <c r="H111" i="1" s="1"/>
  <c r="F124" i="1"/>
  <c r="H124" i="1" s="1"/>
  <c r="F125" i="1"/>
  <c r="H125" i="1" s="1"/>
  <c r="F112" i="1"/>
  <c r="H112" i="1" s="1"/>
  <c r="F118" i="1"/>
  <c r="H118" i="1" s="1"/>
  <c r="F127" i="1"/>
  <c r="H127" i="1" s="1"/>
  <c r="F114" i="1"/>
  <c r="H114" i="1" s="1"/>
  <c r="F120" i="1"/>
  <c r="H120" i="1" s="1"/>
  <c r="F115" i="1"/>
  <c r="H115" i="1" s="1"/>
  <c r="F121" i="1"/>
  <c r="H121" i="1" s="1"/>
  <c r="F128" i="1"/>
  <c r="H128" i="1" s="1"/>
</calcChain>
</file>

<file path=xl/sharedStrings.xml><?xml version="1.0" encoding="utf-8"?>
<sst xmlns="http://schemas.openxmlformats.org/spreadsheetml/2006/main" count="155" uniqueCount="132">
  <si>
    <t>Definitions:</t>
  </si>
  <si>
    <t>L=</t>
  </si>
  <si>
    <t>H=</t>
  </si>
  <si>
    <t>Height of Pier above concrete, inch</t>
  </si>
  <si>
    <t>Description</t>
  </si>
  <si>
    <t>Value</t>
  </si>
  <si>
    <t>D=</t>
  </si>
  <si>
    <t>Distance between bolt anchors, inch</t>
  </si>
  <si>
    <t>Econcrete=</t>
  </si>
  <si>
    <t>Esteel=</t>
  </si>
  <si>
    <t>Modulus of Elasticity for steel</t>
  </si>
  <si>
    <t>Hdepth=</t>
  </si>
  <si>
    <t>Pier extension into concrete, inch</t>
  </si>
  <si>
    <t>pi=</t>
  </si>
  <si>
    <t>Rad=</t>
  </si>
  <si>
    <t>Deflection of pier top for 1 arc-sec tilt, inch</t>
  </si>
  <si>
    <t>One piece pier, embedded in concrete - Length=H+Hdepth</t>
  </si>
  <si>
    <t>Concrete is rigid, all bending in steel tube</t>
  </si>
  <si>
    <t>t=</t>
  </si>
  <si>
    <t>Ipier=</t>
  </si>
  <si>
    <t>dia=</t>
  </si>
  <si>
    <t>Pier wall thick, inch</t>
  </si>
  <si>
    <t>Pier outer diameter, inch</t>
  </si>
  <si>
    <t>Pier tube section moment if inertial</t>
  </si>
  <si>
    <t>Roark case 1, page 104, Cantilever beam</t>
  </si>
  <si>
    <t>Equations</t>
  </si>
  <si>
    <t>Mom=</t>
  </si>
  <si>
    <t>DF=</t>
  </si>
  <si>
    <t>Force to cause 1 arc-sec deflection (case 1), lbs</t>
  </si>
  <si>
    <t>Mom=-DF*H</t>
  </si>
  <si>
    <t>Deflection=-(DF*H^3/(Esteel*Ipier)/3</t>
  </si>
  <si>
    <t>Darcsec</t>
  </si>
  <si>
    <t>Modulus of Elasticity for concrete</t>
  </si>
  <si>
    <t>Calc:</t>
  </si>
  <si>
    <t>Deflect=</t>
  </si>
  <si>
    <t>Force=</t>
  </si>
  <si>
    <t>inch</t>
  </si>
  <si>
    <t>lbs</t>
  </si>
  <si>
    <t>Case 1, Max rigidity, Pier embedded in rigid concrete, tube bends</t>
  </si>
  <si>
    <t>Case 2, Rigid Pier Tube deflecting bearing load in concrete</t>
  </si>
  <si>
    <t>Assumption:</t>
  </si>
  <si>
    <t>Rigid Tube does not deflect</t>
  </si>
  <si>
    <t>Deflect</t>
  </si>
  <si>
    <t>Depth</t>
  </si>
  <si>
    <t>Concrete is reacts to bearing load at top 4 inches, across tube profile</t>
  </si>
  <si>
    <t>React load</t>
  </si>
  <si>
    <t>Brg Stress</t>
  </si>
  <si>
    <t>Strain Concrete</t>
  </si>
  <si>
    <t>Eqn:</t>
  </si>
  <si>
    <t>Strain=Stress/Econcrete</t>
  </si>
  <si>
    <t>D Arc-Sec</t>
  </si>
  <si>
    <t>Concrete is reacts as beam in bending with point loads</t>
  </si>
  <si>
    <t>Concrete beam has range of reactive depth and width</t>
  </si>
  <si>
    <t>Roark case 12, page 106, End support, intermediate loads</t>
  </si>
  <si>
    <t>Reactive Concrete Depth</t>
  </si>
  <si>
    <t>Reactive Width</t>
  </si>
  <si>
    <t>Reactive Iconcrete</t>
  </si>
  <si>
    <t>Moment at Anchor</t>
  </si>
  <si>
    <t>Moment at other pt</t>
  </si>
  <si>
    <t>Deflect at Anchor</t>
  </si>
  <si>
    <t>Deflect at other pt</t>
  </si>
  <si>
    <t>Total Deflection Across pts</t>
  </si>
  <si>
    <t>Mom(anchor)=</t>
  </si>
  <si>
    <t>Ignore shear stress</t>
  </si>
  <si>
    <t>RF=</t>
  </si>
  <si>
    <t>React Force (for 2 anchors)</t>
  </si>
  <si>
    <t>Mom(other pt)=</t>
  </si>
  <si>
    <t>a=</t>
  </si>
  <si>
    <t>b=</t>
  </si>
  <si>
    <t>dist to edge</t>
  </si>
  <si>
    <t>dist to other edge</t>
  </si>
  <si>
    <t>Length of Concrete Beam</t>
  </si>
  <si>
    <t>RF*a/l*(l-b)</t>
  </si>
  <si>
    <t>RF*a*b/l</t>
  </si>
  <si>
    <t>Def(anchor)=</t>
  </si>
  <si>
    <t>Def(other)=</t>
  </si>
  <si>
    <t>RF*a*b/(6*E*I*L)*(2*L*(L-a)-b^2-(L-a)^2)</t>
  </si>
  <si>
    <t>RF*a*(L-b)/(6*E*I*L)*(2*L*b-b^2-(L-b)^2)</t>
  </si>
  <si>
    <t>1 Arc Sec:</t>
  </si>
  <si>
    <t>Comment:</t>
  </si>
  <si>
    <t>Comment 2: This Shows that the added deflection of the pier tube bearing on the concrete is very small.  The total deflection of a case 1 setup would be case 1 + case 2.</t>
  </si>
  <si>
    <t>Comment 1: This is the reference setup for an astronomical pier, with pier embedded in about 48" of concrete.  It assumes the concrete is rigid with the world.</t>
  </si>
  <si>
    <t>Answers</t>
  </si>
  <si>
    <t>Input</t>
  </si>
  <si>
    <t>Comment 3:  The amount of reactive concrete is indeterminate.  The low modulus of concrete would suggest that the reactive depth is small.  This shows a problem if the reactive depth is &lt;4 inches.</t>
  </si>
  <si>
    <t>J Bolt Dia</t>
  </si>
  <si>
    <t>Case 4, Rigid Pier Tube deflecting at 2 anchor loads due to steel J Bolt Stretch</t>
  </si>
  <si>
    <t>J Bolt L</t>
  </si>
  <si>
    <t>Top of Pier Defl Arc-Sec</t>
  </si>
  <si>
    <t>J Bolt Pattern Dia</t>
  </si>
  <si>
    <t>Force at Anchor</t>
  </si>
  <si>
    <t>Deflect at J Bolt
inch</t>
  </si>
  <si>
    <t>D for Concrete</t>
  </si>
  <si>
    <t>Total Deflection</t>
  </si>
  <si>
    <t>D for Bolt Stretch</t>
  </si>
  <si>
    <t>Case 4, Rigid Pier Tube Combined deflecting at 2 anchor loads due to Concrete and steel J Bolt Stretch plus pier column bending</t>
  </si>
  <si>
    <t>Pier Bending
Arc-Sec</t>
  </si>
  <si>
    <t>Conclusion: Use the biggest bolt diameter and use a bolt length at least 6 inches to 10 inches deep.
These deflections assume 2 bolts reacting the deflection load that would give 1 arc sec on a cantelevered pier.</t>
  </si>
  <si>
    <t>Case 3, Rigid Pier Tube deflecting at 2 anchor loads in concrete (Rick)</t>
  </si>
  <si>
    <t>Calculate Various Load Options for Max Rigidity of Telescope Pier</t>
  </si>
  <si>
    <t>Calculation of tip motion (deflection) of observatory pier due to wind</t>
  </si>
  <si>
    <t>Output</t>
  </si>
  <si>
    <t>Measurements at tip (assuming perfectly rigid base)</t>
  </si>
  <si>
    <t>***Below FORMULA appears to give more conservative results, but matches closely with SIMULATION results</t>
  </si>
  <si>
    <t>Below SIMULATION assumes a 1/2-thick steel pipe and NO filling</t>
  </si>
  <si>
    <t>**adding concrete assumes concrete and steel are bonded perfectly</t>
  </si>
  <si>
    <t>length (ft)</t>
  </si>
  <si>
    <t>diameter (in)</t>
  </si>
  <si>
    <t>wind speed (mph)</t>
  </si>
  <si>
    <t>wind load (lbf)</t>
  </si>
  <si>
    <t>deflection (in)</t>
  </si>
  <si>
    <t>inclination (in)</t>
  </si>
  <si>
    <t>rotation (deg)</t>
  </si>
  <si>
    <t>rotation (arc-sec)</t>
  </si>
  <si>
    <t>Control</t>
  </si>
  <si>
    <t>Results from computational software (do not edit)</t>
  </si>
  <si>
    <t>Plug &amp; Play</t>
  </si>
  <si>
    <t>thickness-&gt;</t>
  </si>
  <si>
    <t>(in)</t>
  </si>
  <si>
    <t>Change Height - Shorter better</t>
  </si>
  <si>
    <t>concrete-&gt;</t>
  </si>
  <si>
    <t>(1=filled, 0=not filled)</t>
  </si>
  <si>
    <t>eq. steel rad.-&gt;</t>
  </si>
  <si>
    <t>Not entire post is exposed to wind</t>
  </si>
  <si>
    <t>Based on diameter</t>
  </si>
  <si>
    <t>House blocks some wind too (and I could create barriers if needed)</t>
  </si>
  <si>
    <t>What about vibration caused by slewing</t>
  </si>
  <si>
    <t>Change Diameter - Larger better</t>
  </si>
  <si>
    <t>What is the diameter needed to fit the mount/PierTech</t>
  </si>
  <si>
    <t>I have a 12" Sono in the gar now….will replace with a 14"</t>
  </si>
  <si>
    <t>Change Winds</t>
  </si>
  <si>
    <t>0.5 arc second displacement will meet the needs of 90% of the amateur astronomer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</si>
</sst>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"/>
  </numFmts>
  <fonts count="12" x14ac:knownFonts="1">
    <font>
      <sz val="10"/>
      <name val="Arial"/>
    </font>
    <font>
      <b/>
      <sz val="10"/>
      <name val="Arial"/>
      <family val="2"/>
    </font>
    <font>
      <sz val="14"/>
      <color rgb="FFFF0000"/>
      <name val="Arial"/>
      <family val="2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5" borderId="17" applyNumberFormat="0" applyAlignment="0" applyProtection="0"/>
    <xf numFmtId="0" fontId="4" fillId="6" borderId="18" applyNumberFormat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0" borderId="0" xfId="0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167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2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7" borderId="18" xfId="2" applyFill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4" borderId="23" xfId="0" applyFont="1" applyFill="1" applyBorder="1" applyAlignment="1">
      <alignment horizontal="left"/>
    </xf>
    <xf numFmtId="0" fontId="0" fillId="4" borderId="24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7" fillId="0" borderId="30" xfId="0" applyFont="1" applyBorder="1" applyAlignment="1">
      <alignment horizontal="center" vertical="center" textRotation="180"/>
    </xf>
    <xf numFmtId="0" fontId="0" fillId="8" borderId="31" xfId="0" applyFill="1" applyBorder="1" applyAlignment="1">
      <alignment horizontal="left"/>
    </xf>
    <xf numFmtId="0" fontId="0" fillId="0" borderId="32" xfId="0" applyBorder="1" applyAlignment="1">
      <alignment horizontal="left"/>
    </xf>
    <xf numFmtId="167" fontId="6" fillId="0" borderId="32" xfId="0" applyNumberFormat="1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167" fontId="6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169" fontId="6" fillId="0" borderId="35" xfId="0" applyNumberFormat="1" applyFont="1" applyBorder="1" applyAlignment="1">
      <alignment horizontal="left"/>
    </xf>
    <xf numFmtId="2" fontId="0" fillId="0" borderId="36" xfId="0" applyNumberFormat="1" applyBorder="1" applyAlignment="1">
      <alignment horizontal="left"/>
    </xf>
    <xf numFmtId="0" fontId="7" fillId="0" borderId="37" xfId="0" applyFont="1" applyBorder="1" applyAlignment="1">
      <alignment horizontal="center" vertical="center" textRotation="180"/>
    </xf>
    <xf numFmtId="169" fontId="0" fillId="0" borderId="0" xfId="0" applyNumberFormat="1" applyAlignment="1">
      <alignment horizontal="left"/>
    </xf>
    <xf numFmtId="0" fontId="3" fillId="5" borderId="38" xfId="1" applyBorder="1" applyAlignment="1">
      <alignment horizontal="left"/>
    </xf>
    <xf numFmtId="0" fontId="3" fillId="5" borderId="39" xfId="1" applyBorder="1" applyAlignment="1">
      <alignment horizontal="left"/>
    </xf>
    <xf numFmtId="167" fontId="8" fillId="7" borderId="39" xfId="2" applyNumberFormat="1" applyFont="1" applyFill="1" applyBorder="1" applyAlignment="1">
      <alignment horizontal="left"/>
    </xf>
    <xf numFmtId="164" fontId="8" fillId="7" borderId="39" xfId="2" applyNumberFormat="1" applyFont="1" applyFill="1" applyBorder="1" applyAlignment="1">
      <alignment horizontal="left"/>
    </xf>
    <xf numFmtId="0" fontId="8" fillId="7" borderId="39" xfId="2" applyFont="1" applyFill="1" applyBorder="1" applyAlignment="1">
      <alignment horizontal="left"/>
    </xf>
    <xf numFmtId="2" fontId="9" fillId="7" borderId="40" xfId="2" applyNumberFormat="1" applyFont="1" applyFill="1" applyBorder="1" applyAlignment="1">
      <alignment horizontal="left"/>
    </xf>
    <xf numFmtId="0" fontId="3" fillId="5" borderId="35" xfId="1" applyBorder="1" applyAlignment="1">
      <alignment horizontal="left"/>
    </xf>
    <xf numFmtId="0" fontId="6" fillId="0" borderId="35" xfId="0" applyFont="1" applyBorder="1" applyAlignment="1">
      <alignment horizontal="left"/>
    </xf>
    <xf numFmtId="167" fontId="6" fillId="0" borderId="41" xfId="0" applyNumberFormat="1" applyFont="1" applyBorder="1" applyAlignment="1">
      <alignment horizontal="left"/>
    </xf>
    <xf numFmtId="164" fontId="6" fillId="0" borderId="41" xfId="0" applyNumberFormat="1" applyFont="1" applyBorder="1" applyAlignment="1">
      <alignment horizontal="left"/>
    </xf>
    <xf numFmtId="169" fontId="6" fillId="0" borderId="32" xfId="0" applyNumberFormat="1" applyFont="1" applyBorder="1" applyAlignment="1">
      <alignment horizontal="left"/>
    </xf>
    <xf numFmtId="2" fontId="0" fillId="0" borderId="3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3" fillId="5" borderId="42" xfId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3" xfId="0" applyBorder="1" applyAlignment="1">
      <alignment horizontal="left"/>
    </xf>
    <xf numFmtId="166" fontId="0" fillId="0" borderId="43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167" fontId="6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>
      <alignment horizontal="left"/>
    </xf>
    <xf numFmtId="169" fontId="6" fillId="0" borderId="45" xfId="0" applyNumberFormat="1" applyFont="1" applyBorder="1" applyAlignment="1">
      <alignment horizontal="left"/>
    </xf>
    <xf numFmtId="2" fontId="0" fillId="0" borderId="46" xfId="0" applyNumberFormat="1" applyBorder="1" applyAlignment="1">
      <alignment horizontal="left"/>
    </xf>
    <xf numFmtId="0" fontId="0" fillId="8" borderId="44" xfId="0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0" xfId="0" applyFont="1"/>
    <xf numFmtId="0" fontId="5" fillId="0" borderId="3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48" xfId="0" applyFont="1" applyBorder="1" applyAlignment="1">
      <alignment horizontal="left"/>
    </xf>
    <xf numFmtId="167" fontId="6" fillId="0" borderId="43" xfId="0" applyNumberFormat="1" applyFont="1" applyBorder="1" applyAlignment="1">
      <alignment horizontal="left"/>
    </xf>
    <xf numFmtId="164" fontId="6" fillId="0" borderId="43" xfId="0" applyNumberFormat="1" applyFont="1" applyBorder="1" applyAlignment="1">
      <alignment horizontal="left"/>
    </xf>
    <xf numFmtId="169" fontId="6" fillId="0" borderId="42" xfId="0" applyNumberFormat="1" applyFont="1" applyBorder="1" applyAlignment="1">
      <alignment horizontal="left"/>
    </xf>
    <xf numFmtId="2" fontId="0" fillId="0" borderId="48" xfId="0" applyNumberFormat="1" applyBorder="1" applyAlignment="1">
      <alignment horizontal="left"/>
    </xf>
    <xf numFmtId="0" fontId="7" fillId="0" borderId="49" xfId="0" applyFont="1" applyBorder="1" applyAlignment="1">
      <alignment horizontal="center" vertical="center" textRotation="180"/>
    </xf>
    <xf numFmtId="0" fontId="7" fillId="0" borderId="0" xfId="0" applyFont="1" applyBorder="1" applyAlignment="1">
      <alignment vertical="center" textRotation="180"/>
    </xf>
    <xf numFmtId="0" fontId="10" fillId="0" borderId="0" xfId="3" applyAlignment="1">
      <alignment horizontal="left"/>
    </xf>
    <xf numFmtId="0" fontId="11" fillId="5" borderId="17" xfId="1" applyFont="1" applyAlignment="1">
      <alignment horizontal="left"/>
    </xf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Arc-Sec Deflection</a:t>
            </a:r>
          </a:p>
        </c:rich>
      </c:tx>
      <c:layout>
        <c:manualLayout>
          <c:xMode val="edge"/>
          <c:yMode val="edge"/>
          <c:x val="0.4029850746268656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4776119402984"/>
          <c:y val="0.21789883268482491"/>
          <c:w val="0.65671641791044777"/>
          <c:h val="0.53696498054474706"/>
        </c:manualLayout>
      </c:layout>
      <c:scatterChart>
        <c:scatterStyle val="smoothMarker"/>
        <c:varyColors val="0"/>
        <c:ser>
          <c:idx val="0"/>
          <c:order val="0"/>
          <c:tx>
            <c:v>.5 Dia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'FORCE DEFLECTION'!$D$77:$D$83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16</c:v>
                </c:pt>
                <c:pt idx="6">
                  <c:v>24</c:v>
                </c:pt>
              </c:numCache>
            </c:numRef>
          </c:xVal>
          <c:yVal>
            <c:numRef>
              <c:f>'FORCE DEFLECTION'!$H$77:$H$83</c:f>
              <c:numCache>
                <c:formatCode>0.00000</c:formatCode>
                <c:ptCount val="7"/>
                <c:pt idx="0">
                  <c:v>2.9427083333333333E-2</c:v>
                </c:pt>
                <c:pt idx="1">
                  <c:v>5.8854166666666666E-2</c:v>
                </c:pt>
                <c:pt idx="2">
                  <c:v>8.8281250000000006E-2</c:v>
                </c:pt>
                <c:pt idx="3">
                  <c:v>0.11770833333333333</c:v>
                </c:pt>
                <c:pt idx="4">
                  <c:v>0.29427083333333337</c:v>
                </c:pt>
                <c:pt idx="5">
                  <c:v>0.47083333333333333</c:v>
                </c:pt>
                <c:pt idx="6">
                  <c:v>0.70625000000000004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10-4F69-8D80-D05BC1E0A313}"/>
            </c:ext>
          </c:extLst>
        </c:ser>
        <c:ser>
          <c:idx val="1"/>
          <c:order val="1"/>
          <c:tx>
            <c:v>.75 Dia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'FORCE DEFLECTION'!$D$84:$D$90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16</c:v>
                </c:pt>
                <c:pt idx="6">
                  <c:v>24</c:v>
                </c:pt>
              </c:numCache>
            </c:numRef>
          </c:xVal>
          <c:yVal>
            <c:numRef>
              <c:f>'FORCE DEFLECTION'!$H$84:$H$90</c:f>
              <c:numCache>
                <c:formatCode>0.00000</c:formatCode>
                <c:ptCount val="7"/>
                <c:pt idx="0">
                  <c:v>1.3078703703703705E-2</c:v>
                </c:pt>
                <c:pt idx="1">
                  <c:v>2.615740740740741E-2</c:v>
                </c:pt>
                <c:pt idx="2">
                  <c:v>3.923611111111111E-2</c:v>
                </c:pt>
                <c:pt idx="3">
                  <c:v>5.2314814814814821E-2</c:v>
                </c:pt>
                <c:pt idx="4">
                  <c:v>0.13078703703703703</c:v>
                </c:pt>
                <c:pt idx="5">
                  <c:v>0.20925925925925928</c:v>
                </c:pt>
                <c:pt idx="6">
                  <c:v>0.31388888888888888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10-4F69-8D80-D05BC1E0A313}"/>
            </c:ext>
          </c:extLst>
        </c:ser>
        <c:ser>
          <c:idx val="2"/>
          <c:order val="2"/>
          <c:tx>
            <c:v>1.0 Dia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'FORCE DEFLECTION'!$D$91:$D$97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16</c:v>
                </c:pt>
                <c:pt idx="6">
                  <c:v>24</c:v>
                </c:pt>
              </c:numCache>
            </c:numRef>
          </c:xVal>
          <c:yVal>
            <c:numRef>
              <c:f>'FORCE DEFLECTION'!$H$91:$H$97</c:f>
              <c:numCache>
                <c:formatCode>0.00000</c:formatCode>
                <c:ptCount val="7"/>
                <c:pt idx="0">
                  <c:v>7.3567708333333332E-3</c:v>
                </c:pt>
                <c:pt idx="1">
                  <c:v>1.4713541666666666E-2</c:v>
                </c:pt>
                <c:pt idx="2">
                  <c:v>2.2070312500000001E-2</c:v>
                </c:pt>
                <c:pt idx="3">
                  <c:v>2.9427083333333333E-2</c:v>
                </c:pt>
                <c:pt idx="4">
                  <c:v>7.3567708333333343E-2</c:v>
                </c:pt>
                <c:pt idx="5">
                  <c:v>0.11770833333333333</c:v>
                </c:pt>
                <c:pt idx="6">
                  <c:v>0.17656250000000001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10-4F69-8D80-D05BC1E0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005704"/>
        <c:axId val="248006096"/>
      </c:scatterChart>
      <c:valAx>
        <c:axId val="248005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Bolt Length - (inch)</a:t>
                </a:r>
              </a:p>
            </c:rich>
          </c:tx>
          <c:layout>
            <c:manualLayout>
              <c:xMode val="edge"/>
              <c:yMode val="edge"/>
              <c:x val="0.38805970149253732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006096"/>
        <c:crosses val="autoZero"/>
        <c:crossBetween val="midCat"/>
      </c:valAx>
      <c:valAx>
        <c:axId val="24800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Top Defl - (arc-sec)</a:t>
                </a:r>
              </a:p>
            </c:rich>
          </c:tx>
          <c:layout>
            <c:manualLayout>
              <c:xMode val="edge"/>
              <c:yMode val="edge"/>
              <c:x val="2.9850746268656716E-2"/>
              <c:y val="0.276264591439688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005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61194029850751"/>
          <c:y val="0.37354085603112841"/>
          <c:w val="0.13246268656716417"/>
          <c:h val="0.225680933852140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Deflections due to Bolt Circle </a:t>
            </a:r>
          </a:p>
        </c:rich>
      </c:tx>
      <c:layout>
        <c:manualLayout>
          <c:xMode val="edge"/>
          <c:yMode val="edge"/>
          <c:x val="0.32527910562767343"/>
          <c:y val="3.6912812160516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85144619417094"/>
          <c:y val="0.20134261178463811"/>
          <c:w val="0.65055821125534685"/>
          <c:h val="0.58724928437186119"/>
        </c:manualLayout>
      </c:layout>
      <c:scatterChart>
        <c:scatterStyle val="smoothMarker"/>
        <c:varyColors val="0"/>
        <c:ser>
          <c:idx val="0"/>
          <c:order val="0"/>
          <c:tx>
            <c:v>.5 Dia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'FORCE DEFLECTION'!$E$99:$E$101</c:f>
              <c:numCache>
                <c:formatCode>0.0</c:formatCode>
                <c:ptCount val="3"/>
                <c:pt idx="0">
                  <c:v>12</c:v>
                </c:pt>
                <c:pt idx="1">
                  <c:v>14</c:v>
                </c:pt>
                <c:pt idx="2" formatCode="General">
                  <c:v>16</c:v>
                </c:pt>
              </c:numCache>
            </c:numRef>
          </c:xVal>
          <c:yVal>
            <c:numRef>
              <c:f>'FORCE DEFLECTION'!$H$99:$H$101</c:f>
              <c:numCache>
                <c:formatCode>0.00000</c:formatCode>
                <c:ptCount val="3"/>
                <c:pt idx="0">
                  <c:v>0.11770833333333333</c:v>
                </c:pt>
                <c:pt idx="1">
                  <c:v>0.10089285714285715</c:v>
                </c:pt>
                <c:pt idx="2">
                  <c:v>8.8281250000000006E-2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90-423D-A213-22D005E6634D}"/>
            </c:ext>
          </c:extLst>
        </c:ser>
        <c:ser>
          <c:idx val="1"/>
          <c:order val="1"/>
          <c:tx>
            <c:v>.75 Dia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'FORCE DEFLECTION'!$E$102:$E$104</c:f>
              <c:numCache>
                <c:formatCode>0.0</c:formatCode>
                <c:ptCount val="3"/>
                <c:pt idx="0">
                  <c:v>12</c:v>
                </c:pt>
                <c:pt idx="1">
                  <c:v>14</c:v>
                </c:pt>
                <c:pt idx="2" formatCode="General">
                  <c:v>16</c:v>
                </c:pt>
              </c:numCache>
            </c:numRef>
          </c:xVal>
          <c:yVal>
            <c:numRef>
              <c:f>'FORCE DEFLECTION'!$H$102:$H$104</c:f>
              <c:numCache>
                <c:formatCode>0.00000</c:formatCode>
                <c:ptCount val="3"/>
                <c:pt idx="0">
                  <c:v>5.2314814814814821E-2</c:v>
                </c:pt>
                <c:pt idx="1">
                  <c:v>4.4841269841269848E-2</c:v>
                </c:pt>
                <c:pt idx="2">
                  <c:v>3.923611111111111E-2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90-423D-A213-22D005E6634D}"/>
            </c:ext>
          </c:extLst>
        </c:ser>
        <c:ser>
          <c:idx val="2"/>
          <c:order val="2"/>
          <c:tx>
            <c:v>1.0 Dia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'FORCE DEFLECTION'!$E$105:$E$107</c:f>
              <c:numCache>
                <c:formatCode>0.0</c:formatCode>
                <c:ptCount val="3"/>
                <c:pt idx="0">
                  <c:v>12</c:v>
                </c:pt>
                <c:pt idx="1">
                  <c:v>14</c:v>
                </c:pt>
                <c:pt idx="2" formatCode="General">
                  <c:v>16</c:v>
                </c:pt>
              </c:numCache>
            </c:numRef>
          </c:xVal>
          <c:yVal>
            <c:numRef>
              <c:f>'FORCE DEFLECTION'!$H$105:$H$107</c:f>
              <c:numCache>
                <c:formatCode>0.00000</c:formatCode>
                <c:ptCount val="3"/>
                <c:pt idx="0">
                  <c:v>2.9427083333333333E-2</c:v>
                </c:pt>
                <c:pt idx="1">
                  <c:v>2.5223214285714286E-2</c:v>
                </c:pt>
                <c:pt idx="2">
                  <c:v>2.2070312500000001E-2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90-423D-A213-22D005E6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915008"/>
        <c:axId val="245916184"/>
      </c:scatterChart>
      <c:valAx>
        <c:axId val="245915008"/>
        <c:scaling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Bolt Cirle Dia - (inch)</a:t>
                </a:r>
              </a:p>
            </c:rich>
          </c:tx>
          <c:layout>
            <c:manualLayout>
              <c:xMode val="edge"/>
              <c:yMode val="edge"/>
              <c:x val="0.37918250027454503"/>
              <c:y val="0.879196071459586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916184"/>
        <c:crosses val="autoZero"/>
        <c:crossBetween val="midCat"/>
      </c:valAx>
      <c:valAx>
        <c:axId val="245916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Top Defl - (arc-sec)</a:t>
                </a:r>
              </a:p>
            </c:rich>
          </c:tx>
          <c:layout>
            <c:manualLayout>
              <c:xMode val="edge"/>
              <c:yMode val="edge"/>
              <c:x val="2.9739803943101568E-2"/>
              <c:y val="0.31208104826618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915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16062561772621"/>
          <c:y val="0.3993295133728656"/>
          <c:w val="0.13197037999751321"/>
          <c:h val="0.194631191391816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Deflection for 12 Inch Bolt Circle</a:t>
            </a:r>
          </a:p>
        </c:rich>
      </c:tx>
      <c:layout>
        <c:manualLayout>
          <c:xMode val="edge"/>
          <c:yMode val="edge"/>
          <c:x val="0.27135722780116045"/>
          <c:y val="3.3149171270718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2923852537186"/>
          <c:y val="0.18784530386740331"/>
          <c:w val="0.62311659717303503"/>
          <c:h val="0.6270718232044199"/>
        </c:manualLayout>
      </c:layout>
      <c:scatterChart>
        <c:scatterStyle val="smoothMarker"/>
        <c:varyColors val="0"/>
        <c:ser>
          <c:idx val="0"/>
          <c:order val="0"/>
          <c:tx>
            <c:v>.5 Dia Bolt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'FORCE DEFLECTION'!$D$111:$D$116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16</c:v>
                </c:pt>
                <c:pt idx="5">
                  <c:v>24</c:v>
                </c:pt>
              </c:numCache>
            </c:numRef>
          </c:xVal>
          <c:yVal>
            <c:numRef>
              <c:f>'FORCE DEFLECTION'!$H$111:$H$116</c:f>
              <c:numCache>
                <c:formatCode>0.00000</c:formatCode>
                <c:ptCount val="6"/>
                <c:pt idx="0">
                  <c:v>2.2288970243326811</c:v>
                </c:pt>
                <c:pt idx="1">
                  <c:v>1.4349606152343748</c:v>
                </c:pt>
                <c:pt idx="2">
                  <c:v>1.2639636905415852</c:v>
                </c:pt>
                <c:pt idx="3">
                  <c:v>1.3376057539876303</c:v>
                </c:pt>
                <c:pt idx="4">
                  <c:v>1.4801936761946615</c:v>
                </c:pt>
                <c:pt idx="5">
                  <c:v>1.7085352399563791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9-4606-8D4F-8700F89BA7E9}"/>
            </c:ext>
          </c:extLst>
        </c:ser>
        <c:ser>
          <c:idx val="1"/>
          <c:order val="1"/>
          <c:tx>
            <c:v>.75 Dia Bolt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'FORCE DEFLECTION'!$D$117:$D$123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16</c:v>
                </c:pt>
                <c:pt idx="6">
                  <c:v>24</c:v>
                </c:pt>
              </c:numCache>
            </c:numRef>
          </c:xVal>
          <c:yVal>
            <c:numRef>
              <c:f>'FORCE DEFLECTION'!$H$117:$H$123</c:f>
              <c:numCache>
                <c:formatCode>0.00000</c:formatCode>
                <c:ptCount val="7"/>
                <c:pt idx="0">
                  <c:v>2.1831215613697181</c:v>
                </c:pt>
                <c:pt idx="1">
                  <c:v>1.3728367726417821</c:v>
                </c:pt>
                <c:pt idx="2">
                  <c:v>1.1854914683193629</c:v>
                </c:pt>
                <c:pt idx="3">
                  <c:v>1.0956497354691117</c:v>
                </c:pt>
                <c:pt idx="4">
                  <c:v>1.1401473798983652</c:v>
                </c:pt>
                <c:pt idx="5">
                  <c:v>1.2115444992156381</c:v>
                </c:pt>
                <c:pt idx="6">
                  <c:v>1.3145659970241121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9-4606-8D4F-8700F89BA7E9}"/>
            </c:ext>
          </c:extLst>
        </c:ser>
        <c:ser>
          <c:idx val="2"/>
          <c:order val="2"/>
          <c:tx>
            <c:v>1.0 Dia Bolt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'FORCE DEFLECTION'!$D$124:$D$130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16</c:v>
                </c:pt>
                <c:pt idx="6">
                  <c:v>24</c:v>
                </c:pt>
              </c:numCache>
            </c:numRef>
          </c:xVal>
          <c:yVal>
            <c:numRef>
              <c:f>'FORCE DEFLECTION'!$H$124:$H$130</c:f>
              <c:numCache>
                <c:formatCode>0.00000</c:formatCode>
                <c:ptCount val="7"/>
                <c:pt idx="0">
                  <c:v>2.177399628499348</c:v>
                </c:pt>
                <c:pt idx="1">
                  <c:v>1.3613929069010413</c:v>
                </c:pt>
                <c:pt idx="2">
                  <c:v>1.1683256697082518</c:v>
                </c:pt>
                <c:pt idx="3">
                  <c:v>1.0727620039876302</c:v>
                </c:pt>
                <c:pt idx="4">
                  <c:v>1.0829280511946615</c:v>
                </c:pt>
                <c:pt idx="5">
                  <c:v>1.1199935732897122</c:v>
                </c:pt>
                <c:pt idx="6">
                  <c:v>1.1772396081352234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B9-4606-8D4F-8700F89BA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867024"/>
        <c:axId val="250731080"/>
      </c:scatterChart>
      <c:valAx>
        <c:axId val="23986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Bolt Length</a:t>
                </a:r>
              </a:p>
            </c:rich>
          </c:tx>
          <c:layout>
            <c:manualLayout>
              <c:xMode val="edge"/>
              <c:yMode val="edge"/>
              <c:x val="0.41373602016596683"/>
              <c:y val="0.897790055248618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731080"/>
        <c:crosses val="autoZero"/>
        <c:crossBetween val="midCat"/>
      </c:valAx>
      <c:valAx>
        <c:axId val="250731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Top Deflection - arc sec</a:t>
                </a:r>
              </a:p>
            </c:rich>
          </c:tx>
          <c:layout>
            <c:manualLayout>
              <c:xMode val="edge"/>
              <c:yMode val="edge"/>
              <c:x val="2.6800713856904735E-2"/>
              <c:y val="0.3093922651933701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867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74672801953785"/>
          <c:y val="0.41712707182320441"/>
          <c:w val="0.17085455083776768"/>
          <c:h val="0.16850828729281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387350</xdr:colOff>
      <xdr:row>1</xdr:row>
      <xdr:rowOff>9525</xdr:rowOff>
    </xdr:from>
    <xdr:to>
      <xdr:col>13</xdr:col>
      <xdr:colOff>196850</xdr:colOff>
      <xdr:row>16</xdr:row>
      <xdr:rowOff>76200</xdr:rowOff>
    </xdr:to>
    <xdr:grpSp>
      <xdr:nvGrpSpPr>
        <xdr:cNvPr id="1058" name="Group 34"/>
        <xdr:cNvGrpSpPr>
          <a:grpSpLocks/>
        </xdr:cNvGrpSpPr>
      </xdr:nvGrpSpPr>
      <xdr:grpSpPr bwMode="auto">
        <a:xfrm>
          <a:off x="7499350" y="225425"/>
          <a:ext cx="2311400" cy="2543175"/>
          <a:chOff x="790" y="63"/>
          <a:chExt cx="293" cy="339"/>
        </a:xfrm>
      </xdr:grpSpPr>
      <xdr:grpSp>
        <xdr:nvGrpSpPr>
          <xdr:cNvPr id="1030" name="Group 6"/>
          <xdr:cNvGrpSpPr>
            <a:grpSpLocks/>
          </xdr:cNvGrpSpPr>
        </xdr:nvGrpSpPr>
        <xdr:grpSpPr bwMode="auto">
          <a:xfrm>
            <a:off x="790" y="64"/>
            <a:ext cx="184" cy="311"/>
            <a:chOff x="309" y="129"/>
            <a:chExt cx="184" cy="311"/>
          </a:xfrm>
        </xdr:grpSpPr>
        <xdr:sp macro="" textlink="">
          <xdr:nvSpPr>
            <xdr:cNvPr id="1025" name="Rectangle 1"/>
            <xdr:cNvSpPr>
              <a:spLocks noChangeArrowheads="1"/>
            </xdr:cNvSpPr>
          </xdr:nvSpPr>
          <xdr:spPr bwMode="auto">
            <a:xfrm>
              <a:off x="383" y="129"/>
              <a:ext cx="31" cy="20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26" name="Rectangle 2"/>
            <xdr:cNvSpPr>
              <a:spLocks noChangeArrowheads="1"/>
            </xdr:cNvSpPr>
          </xdr:nvSpPr>
          <xdr:spPr bwMode="auto">
            <a:xfrm>
              <a:off x="344" y="331"/>
              <a:ext cx="110" cy="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27" name="Rectangle 3"/>
            <xdr:cNvSpPr>
              <a:spLocks noChangeArrowheads="1"/>
            </xdr:cNvSpPr>
          </xdr:nvSpPr>
          <xdr:spPr bwMode="auto">
            <a:xfrm>
              <a:off x="309" y="341"/>
              <a:ext cx="184" cy="9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28" name="Rectangle 4"/>
            <xdr:cNvSpPr>
              <a:spLocks noChangeArrowheads="1"/>
            </xdr:cNvSpPr>
          </xdr:nvSpPr>
          <xdr:spPr bwMode="auto">
            <a:xfrm>
              <a:off x="350" y="336"/>
              <a:ext cx="6" cy="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29" name="Rectangle 5"/>
            <xdr:cNvSpPr>
              <a:spLocks noChangeArrowheads="1"/>
            </xdr:cNvSpPr>
          </xdr:nvSpPr>
          <xdr:spPr bwMode="auto">
            <a:xfrm>
              <a:off x="441" y="336"/>
              <a:ext cx="6" cy="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834" y="230"/>
            <a:ext cx="0" cy="3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9"/>
          <xdr:cNvSpPr>
            <a:spLocks noChangeShapeType="1"/>
          </xdr:cNvSpPr>
        </xdr:nvSpPr>
        <xdr:spPr bwMode="auto">
          <a:xfrm flipV="1">
            <a:off x="924" y="275"/>
            <a:ext cx="0" cy="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898" y="309"/>
            <a:ext cx="53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React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Force</a:t>
            </a:r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807" y="189"/>
            <a:ext cx="53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React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Force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868" y="382"/>
            <a:ext cx="31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15"</a:t>
            </a:r>
          </a:p>
        </xdr:txBody>
      </xdr:sp>
      <xdr:sp macro="" textlink="">
        <xdr:nvSpPr>
          <xdr:cNvPr id="1039" name="Line 15"/>
          <xdr:cNvSpPr>
            <a:spLocks noChangeShapeType="1"/>
          </xdr:cNvSpPr>
        </xdr:nvSpPr>
        <xdr:spPr bwMode="auto">
          <a:xfrm>
            <a:off x="902" y="392"/>
            <a:ext cx="2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 flipH="1">
            <a:off x="838" y="392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43" name="Group 19"/>
          <xdr:cNvGrpSpPr>
            <a:grpSpLocks/>
          </xdr:cNvGrpSpPr>
        </xdr:nvGrpSpPr>
        <xdr:grpSpPr bwMode="auto">
          <a:xfrm>
            <a:off x="924" y="63"/>
            <a:ext cx="55" cy="211"/>
            <a:chOff x="474" y="130"/>
            <a:chExt cx="55" cy="211"/>
          </a:xfrm>
        </xdr:grpSpPr>
        <xdr:sp macro="" textlink="">
          <xdr:nvSpPr>
            <xdr:cNvPr id="1037" name="Rectangle 13"/>
            <xdr:cNvSpPr>
              <a:spLocks noChangeArrowheads="1"/>
            </xdr:cNvSpPr>
          </xdr:nvSpPr>
          <xdr:spPr bwMode="auto">
            <a:xfrm>
              <a:off x="474" y="200"/>
              <a:ext cx="55" cy="2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 ft</a:t>
              </a:r>
            </a:p>
          </xdr:txBody>
        </xdr:sp>
        <xdr:sp macro="" textlink="">
          <xdr:nvSpPr>
            <xdr:cNvPr id="1041" name="Line 17"/>
            <xdr:cNvSpPr>
              <a:spLocks noChangeShapeType="1"/>
            </xdr:cNvSpPr>
          </xdr:nvSpPr>
          <xdr:spPr bwMode="auto">
            <a:xfrm>
              <a:off x="500" y="223"/>
              <a:ext cx="0" cy="11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2" name="Line 18"/>
            <xdr:cNvSpPr>
              <a:spLocks noChangeShapeType="1"/>
            </xdr:cNvSpPr>
          </xdr:nvSpPr>
          <xdr:spPr bwMode="auto">
            <a:xfrm flipV="1">
              <a:off x="500" y="130"/>
              <a:ext cx="0" cy="6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865" y="271"/>
            <a:ext cx="30" cy="9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</xdr:spPr>
      </xdr:sp>
      <xdr:sp macro="" textlink="">
        <xdr:nvSpPr>
          <xdr:cNvPr id="1049" name="Line 25"/>
          <xdr:cNvSpPr>
            <a:spLocks noChangeShapeType="1"/>
          </xdr:cNvSpPr>
        </xdr:nvSpPr>
        <xdr:spPr bwMode="auto">
          <a:xfrm>
            <a:off x="906" y="366"/>
            <a:ext cx="11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28"/>
          <xdr:cNvSpPr>
            <a:spLocks noChangeShapeType="1"/>
          </xdr:cNvSpPr>
        </xdr:nvSpPr>
        <xdr:spPr bwMode="auto">
          <a:xfrm>
            <a:off x="995" y="272"/>
            <a:ext cx="0" cy="9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AutoShape 29"/>
          <xdr:cNvSpPr>
            <a:spLocks/>
          </xdr:cNvSpPr>
        </xdr:nvSpPr>
        <xdr:spPr bwMode="auto">
          <a:xfrm>
            <a:off x="1021" y="286"/>
            <a:ext cx="62" cy="71"/>
          </a:xfrm>
          <a:prstGeom prst="callout1">
            <a:avLst>
              <a:gd name="adj1" fmla="val 21125"/>
              <a:gd name="adj2" fmla="val -16130"/>
              <a:gd name="adj3" fmla="val 57745"/>
              <a:gd name="adj4" fmla="val -40324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Hdepth added Pier</a:t>
            </a:r>
          </a:p>
        </xdr:txBody>
      </xdr:sp>
      <xdr:sp macro="" textlink="">
        <xdr:nvSpPr>
          <xdr:cNvPr id="1054" name="Line 30"/>
          <xdr:cNvSpPr>
            <a:spLocks noChangeShapeType="1"/>
          </xdr:cNvSpPr>
        </xdr:nvSpPr>
        <xdr:spPr bwMode="auto">
          <a:xfrm>
            <a:off x="806" y="66"/>
            <a:ext cx="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2</xdr:row>
      <xdr:rowOff>69850</xdr:rowOff>
    </xdr:from>
    <xdr:to>
      <xdr:col>9</xdr:col>
      <xdr:colOff>635000</xdr:colOff>
      <xdr:row>4</xdr:row>
      <xdr:rowOff>127000</xdr:rowOff>
    </xdr:to>
    <xdr:sp macro="" textlink="">
      <xdr:nvSpPr>
        <xdr:cNvPr id="1056" name="AutoShape 32"/>
        <xdr:cNvSpPr>
          <a:spLocks/>
        </xdr:cNvSpPr>
      </xdr:nvSpPr>
      <xdr:spPr bwMode="auto">
        <a:xfrm>
          <a:off x="7159625" y="450850"/>
          <a:ext cx="587375" cy="387350"/>
        </a:xfrm>
        <a:prstGeom prst="callout1">
          <a:avLst>
            <a:gd name="adj1" fmla="val 29412"/>
            <a:gd name="adj2" fmla="val 114704"/>
            <a:gd name="adj3" fmla="val -29412"/>
            <a:gd name="adj4" fmla="val 1323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Deflect Force</a:t>
          </a:r>
        </a:p>
      </xdr:txBody>
    </xdr:sp>
    <xdr:clientData/>
  </xdr:twoCellAnchor>
  <xdr:twoCellAnchor>
    <xdr:from>
      <xdr:col>7</xdr:col>
      <xdr:colOff>590550</xdr:colOff>
      <xdr:row>19</xdr:row>
      <xdr:rowOff>19050</xdr:rowOff>
    </xdr:from>
    <xdr:to>
      <xdr:col>9</xdr:col>
      <xdr:colOff>161925</xdr:colOff>
      <xdr:row>28</xdr:row>
      <xdr:rowOff>66675</xdr:rowOff>
    </xdr:to>
    <xdr:grpSp>
      <xdr:nvGrpSpPr>
        <xdr:cNvPr id="1080" name="Group 56"/>
        <xdr:cNvGrpSpPr>
          <a:grpSpLocks/>
        </xdr:cNvGrpSpPr>
      </xdr:nvGrpSpPr>
      <xdr:grpSpPr bwMode="auto">
        <a:xfrm>
          <a:off x="6483350" y="3206750"/>
          <a:ext cx="790575" cy="1533525"/>
          <a:chOff x="700" y="406"/>
          <a:chExt cx="104" cy="204"/>
        </a:xfrm>
      </xdr:grpSpPr>
      <xdr:sp macro="" textlink="">
        <xdr:nvSpPr>
          <xdr:cNvPr id="1062" name="Rectangle 38"/>
          <xdr:cNvSpPr>
            <a:spLocks noChangeArrowheads="1"/>
          </xdr:cNvSpPr>
        </xdr:nvSpPr>
        <xdr:spPr bwMode="auto">
          <a:xfrm>
            <a:off x="700" y="532"/>
            <a:ext cx="104" cy="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61" name="Rectangle 37"/>
          <xdr:cNvSpPr>
            <a:spLocks noChangeArrowheads="1"/>
          </xdr:cNvSpPr>
        </xdr:nvSpPr>
        <xdr:spPr bwMode="auto">
          <a:xfrm>
            <a:off x="743" y="406"/>
            <a:ext cx="13" cy="1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63" name="Line 39"/>
          <xdr:cNvSpPr>
            <a:spLocks noChangeShapeType="1"/>
          </xdr:cNvSpPr>
        </xdr:nvSpPr>
        <xdr:spPr bwMode="auto">
          <a:xfrm>
            <a:off x="703" y="407"/>
            <a:ext cx="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Text Box 40"/>
          <xdr:cNvSpPr txBox="1">
            <a:spLocks noChangeArrowheads="1"/>
          </xdr:cNvSpPr>
        </xdr:nvSpPr>
        <xdr:spPr bwMode="auto">
          <a:xfrm>
            <a:off x="721" y="588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Case 1</a:t>
            </a:r>
          </a:p>
        </xdr:txBody>
      </xdr:sp>
    </xdr:grpSp>
    <xdr:clientData/>
  </xdr:twoCellAnchor>
  <xdr:twoCellAnchor>
    <xdr:from>
      <xdr:col>8</xdr:col>
      <xdr:colOff>247650</xdr:colOff>
      <xdr:row>31</xdr:row>
      <xdr:rowOff>114300</xdr:rowOff>
    </xdr:from>
    <xdr:to>
      <xdr:col>10</xdr:col>
      <xdr:colOff>571500</xdr:colOff>
      <xdr:row>41</xdr:row>
      <xdr:rowOff>0</xdr:rowOff>
    </xdr:to>
    <xdr:grpSp>
      <xdr:nvGrpSpPr>
        <xdr:cNvPr id="1082" name="Group 58"/>
        <xdr:cNvGrpSpPr>
          <a:grpSpLocks/>
        </xdr:cNvGrpSpPr>
      </xdr:nvGrpSpPr>
      <xdr:grpSpPr bwMode="auto">
        <a:xfrm>
          <a:off x="6750050" y="5283200"/>
          <a:ext cx="1606550" cy="1536700"/>
          <a:chOff x="735" y="683"/>
          <a:chExt cx="202" cy="204"/>
        </a:xfrm>
      </xdr:grpSpPr>
      <xdr:sp macro="" textlink="">
        <xdr:nvSpPr>
          <xdr:cNvPr id="1073" name="Rectangle 49"/>
          <xdr:cNvSpPr>
            <a:spLocks noChangeArrowheads="1"/>
          </xdr:cNvSpPr>
        </xdr:nvSpPr>
        <xdr:spPr bwMode="auto">
          <a:xfrm>
            <a:off x="735" y="809"/>
            <a:ext cx="104" cy="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74" name="Rectangle 50"/>
          <xdr:cNvSpPr>
            <a:spLocks noChangeArrowheads="1"/>
          </xdr:cNvSpPr>
        </xdr:nvSpPr>
        <xdr:spPr bwMode="auto">
          <a:xfrm>
            <a:off x="778" y="683"/>
            <a:ext cx="13" cy="1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75" name="Line 51"/>
          <xdr:cNvSpPr>
            <a:spLocks noChangeShapeType="1"/>
          </xdr:cNvSpPr>
        </xdr:nvSpPr>
        <xdr:spPr bwMode="auto">
          <a:xfrm>
            <a:off x="738" y="684"/>
            <a:ext cx="4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Text Box 52"/>
          <xdr:cNvSpPr txBox="1">
            <a:spLocks noChangeArrowheads="1"/>
          </xdr:cNvSpPr>
        </xdr:nvSpPr>
        <xdr:spPr bwMode="auto">
          <a:xfrm>
            <a:off x="756" y="865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Case 2</a:t>
            </a:r>
          </a:p>
        </xdr:txBody>
      </xdr:sp>
      <xdr:sp macro="" textlink="">
        <xdr:nvSpPr>
          <xdr:cNvPr id="1077" name="Line 53"/>
          <xdr:cNvSpPr>
            <a:spLocks noChangeShapeType="1"/>
          </xdr:cNvSpPr>
        </xdr:nvSpPr>
        <xdr:spPr bwMode="auto">
          <a:xfrm flipH="1">
            <a:off x="791" y="814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" name="Line 54"/>
          <xdr:cNvSpPr>
            <a:spLocks noChangeShapeType="1"/>
          </xdr:cNvSpPr>
        </xdr:nvSpPr>
        <xdr:spPr bwMode="auto">
          <a:xfrm>
            <a:off x="746" y="844"/>
            <a:ext cx="3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851" y="807"/>
            <a:ext cx="86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React load</a:t>
            </a:r>
          </a:p>
        </xdr:txBody>
      </xdr:sp>
    </xdr:grpSp>
    <xdr:clientData/>
  </xdr:twoCellAnchor>
  <xdr:twoCellAnchor>
    <xdr:from>
      <xdr:col>7</xdr:col>
      <xdr:colOff>330200</xdr:colOff>
      <xdr:row>46</xdr:row>
      <xdr:rowOff>114300</xdr:rowOff>
    </xdr:from>
    <xdr:to>
      <xdr:col>9</xdr:col>
      <xdr:colOff>527050</xdr:colOff>
      <xdr:row>62</xdr:row>
      <xdr:rowOff>152400</xdr:rowOff>
    </xdr:to>
    <xdr:grpSp>
      <xdr:nvGrpSpPr>
        <xdr:cNvPr id="1118" name="Group 94"/>
        <xdr:cNvGrpSpPr>
          <a:grpSpLocks/>
        </xdr:cNvGrpSpPr>
      </xdr:nvGrpSpPr>
      <xdr:grpSpPr bwMode="auto">
        <a:xfrm>
          <a:off x="6223000" y="7759700"/>
          <a:ext cx="1416050" cy="2679700"/>
          <a:chOff x="736" y="847"/>
          <a:chExt cx="186" cy="449"/>
        </a:xfrm>
      </xdr:grpSpPr>
      <xdr:grpSp>
        <xdr:nvGrpSpPr>
          <xdr:cNvPr id="1113" name="Group 89"/>
          <xdr:cNvGrpSpPr>
            <a:grpSpLocks/>
          </xdr:cNvGrpSpPr>
        </xdr:nvGrpSpPr>
        <xdr:grpSpPr bwMode="auto">
          <a:xfrm>
            <a:off x="741" y="847"/>
            <a:ext cx="165" cy="369"/>
            <a:chOff x="735" y="992"/>
            <a:chExt cx="155" cy="281"/>
          </a:xfrm>
        </xdr:grpSpPr>
        <xdr:grpSp>
          <xdr:nvGrpSpPr>
            <xdr:cNvPr id="1085" name="Group 61"/>
            <xdr:cNvGrpSpPr>
              <a:grpSpLocks/>
            </xdr:cNvGrpSpPr>
          </xdr:nvGrpSpPr>
          <xdr:grpSpPr bwMode="auto">
            <a:xfrm>
              <a:off x="740" y="992"/>
              <a:ext cx="144" cy="243"/>
              <a:chOff x="309" y="129"/>
              <a:chExt cx="184" cy="311"/>
            </a:xfrm>
          </xdr:grpSpPr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83" y="129"/>
                <a:ext cx="31" cy="202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87" name="Rectangle 63"/>
              <xdr:cNvSpPr>
                <a:spLocks noChangeArrowheads="1"/>
              </xdr:cNvSpPr>
            </xdr:nvSpPr>
            <xdr:spPr bwMode="auto">
              <a:xfrm>
                <a:off x="344" y="331"/>
                <a:ext cx="110" cy="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88" name="Rectangle 64"/>
              <xdr:cNvSpPr>
                <a:spLocks noChangeArrowheads="1"/>
              </xdr:cNvSpPr>
            </xdr:nvSpPr>
            <xdr:spPr bwMode="auto">
              <a:xfrm>
                <a:off x="309" y="341"/>
                <a:ext cx="184" cy="99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50" y="336"/>
                <a:ext cx="6" cy="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90" name="Rectangle 66"/>
              <xdr:cNvSpPr>
                <a:spLocks noChangeArrowheads="1"/>
              </xdr:cNvSpPr>
            </xdr:nvSpPr>
            <xdr:spPr bwMode="auto">
              <a:xfrm>
                <a:off x="441" y="336"/>
                <a:ext cx="6" cy="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091" name="Line 67"/>
            <xdr:cNvSpPr>
              <a:spLocks noChangeShapeType="1"/>
            </xdr:cNvSpPr>
          </xdr:nvSpPr>
          <xdr:spPr bwMode="auto">
            <a:xfrm>
              <a:off x="774" y="1122"/>
              <a:ext cx="0" cy="2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2" name="Line 68"/>
            <xdr:cNvSpPr>
              <a:spLocks noChangeShapeType="1"/>
            </xdr:cNvSpPr>
          </xdr:nvSpPr>
          <xdr:spPr bwMode="auto">
            <a:xfrm flipV="1">
              <a:off x="845" y="1157"/>
              <a:ext cx="0" cy="2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6" name="Line 82"/>
            <xdr:cNvSpPr>
              <a:spLocks noChangeShapeType="1"/>
            </xdr:cNvSpPr>
          </xdr:nvSpPr>
          <xdr:spPr bwMode="auto">
            <a:xfrm>
              <a:off x="753" y="993"/>
              <a:ext cx="42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8" name="Text Box 84"/>
            <xdr:cNvSpPr txBox="1">
              <a:spLocks noChangeArrowheads="1"/>
            </xdr:cNvSpPr>
          </xdr:nvSpPr>
          <xdr:spPr bwMode="auto">
            <a:xfrm>
              <a:off x="775" y="1249"/>
              <a:ext cx="13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09" name="Text Box 85"/>
            <xdr:cNvSpPr txBox="1">
              <a:spLocks noChangeArrowheads="1"/>
            </xdr:cNvSpPr>
          </xdr:nvSpPr>
          <xdr:spPr bwMode="auto">
            <a:xfrm>
              <a:off x="780" y="1251"/>
              <a:ext cx="69" cy="2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Case 3</a:t>
              </a:r>
            </a:p>
          </xdr:txBody>
        </xdr:sp>
        <xdr:sp macro="" textlink="">
          <xdr:nvSpPr>
            <xdr:cNvPr id="1111" name="Line 87"/>
            <xdr:cNvSpPr>
              <a:spLocks noChangeShapeType="1"/>
            </xdr:cNvSpPr>
          </xdr:nvSpPr>
          <xdr:spPr bwMode="auto">
            <a:xfrm>
              <a:off x="890" y="1176"/>
              <a:ext cx="0" cy="3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12" name="Line 88"/>
            <xdr:cNvSpPr>
              <a:spLocks noChangeShapeType="1"/>
            </xdr:cNvSpPr>
          </xdr:nvSpPr>
          <xdr:spPr bwMode="auto">
            <a:xfrm flipV="1">
              <a:off x="735" y="1173"/>
              <a:ext cx="0" cy="4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14" name="Freeform 90"/>
          <xdr:cNvSpPr>
            <a:spLocks/>
          </xdr:cNvSpPr>
        </xdr:nvSpPr>
        <xdr:spPr bwMode="auto">
          <a:xfrm>
            <a:off x="736" y="1259"/>
            <a:ext cx="186" cy="31"/>
          </a:xfrm>
          <a:custGeom>
            <a:avLst/>
            <a:gdLst>
              <a:gd name="T0" fmla="*/ 0 w 186"/>
              <a:gd name="T1" fmla="*/ 9 h 31"/>
              <a:gd name="T2" fmla="*/ 43 w 186"/>
              <a:gd name="T3" fmla="*/ 28 h 31"/>
              <a:gd name="T4" fmla="*/ 72 w 186"/>
              <a:gd name="T5" fmla="*/ 27 h 31"/>
              <a:gd name="T6" fmla="*/ 107 w 186"/>
              <a:gd name="T7" fmla="*/ 9 h 31"/>
              <a:gd name="T8" fmla="*/ 132 w 186"/>
              <a:gd name="T9" fmla="*/ 1 h 31"/>
              <a:gd name="T10" fmla="*/ 160 w 186"/>
              <a:gd name="T11" fmla="*/ 4 h 31"/>
              <a:gd name="T12" fmla="*/ 177 w 186"/>
              <a:gd name="T13" fmla="*/ 9 h 31"/>
              <a:gd name="T14" fmla="*/ 186 w 186"/>
              <a:gd name="T15" fmla="*/ 18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6" h="31">
                <a:moveTo>
                  <a:pt x="0" y="9"/>
                </a:moveTo>
                <a:cubicBezTo>
                  <a:pt x="15" y="17"/>
                  <a:pt x="31" y="25"/>
                  <a:pt x="43" y="28"/>
                </a:cubicBezTo>
                <a:cubicBezTo>
                  <a:pt x="55" y="31"/>
                  <a:pt x="61" y="30"/>
                  <a:pt x="72" y="27"/>
                </a:cubicBezTo>
                <a:cubicBezTo>
                  <a:pt x="83" y="24"/>
                  <a:pt x="97" y="13"/>
                  <a:pt x="107" y="9"/>
                </a:cubicBezTo>
                <a:cubicBezTo>
                  <a:pt x="117" y="5"/>
                  <a:pt x="123" y="2"/>
                  <a:pt x="132" y="1"/>
                </a:cubicBezTo>
                <a:cubicBezTo>
                  <a:pt x="141" y="0"/>
                  <a:pt x="153" y="3"/>
                  <a:pt x="160" y="4"/>
                </a:cubicBezTo>
                <a:cubicBezTo>
                  <a:pt x="167" y="5"/>
                  <a:pt x="173" y="7"/>
                  <a:pt x="177" y="9"/>
                </a:cubicBezTo>
                <a:cubicBezTo>
                  <a:pt x="181" y="11"/>
                  <a:pt x="185" y="17"/>
                  <a:pt x="186" y="1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115" name="Line 91"/>
          <xdr:cNvSpPr>
            <a:spLocks noChangeShapeType="1"/>
          </xdr:cNvSpPr>
        </xdr:nvSpPr>
        <xdr:spPr bwMode="auto">
          <a:xfrm>
            <a:off x="793" y="1256"/>
            <a:ext cx="0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92"/>
          <xdr:cNvSpPr>
            <a:spLocks noChangeShapeType="1"/>
          </xdr:cNvSpPr>
        </xdr:nvSpPr>
        <xdr:spPr bwMode="auto">
          <a:xfrm flipV="1">
            <a:off x="872" y="1262"/>
            <a:ext cx="0" cy="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161925</xdr:colOff>
      <xdr:row>75</xdr:row>
      <xdr:rowOff>9525</xdr:rowOff>
    </xdr:from>
    <xdr:to>
      <xdr:col>16</xdr:col>
      <xdr:colOff>333375</xdr:colOff>
      <xdr:row>88</xdr:row>
      <xdr:rowOff>28575</xdr:rowOff>
    </xdr:to>
    <xdr:graphicFrame macro="">
      <xdr:nvGraphicFramePr>
        <xdr:cNvPr id="1119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88</xdr:row>
      <xdr:rowOff>104775</xdr:rowOff>
    </xdr:from>
    <xdr:to>
      <xdr:col>16</xdr:col>
      <xdr:colOff>352425</xdr:colOff>
      <xdr:row>106</xdr:row>
      <xdr:rowOff>28575</xdr:rowOff>
    </xdr:to>
    <xdr:graphicFrame macro="">
      <xdr:nvGraphicFramePr>
        <xdr:cNvPr id="1120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161925</xdr:colOff>
      <xdr:row>109</xdr:row>
      <xdr:rowOff>66675</xdr:rowOff>
    </xdr:from>
    <xdr:to>
      <xdr:col>17</xdr:col>
      <xdr:colOff>304800</xdr:colOff>
      <xdr:row>129</xdr:row>
      <xdr:rowOff>114300</xdr:rowOff>
    </xdr:to>
    <xdr:graphicFrame macro="">
      <xdr:nvGraphicFramePr>
        <xdr:cNvPr id="1121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tabSelected="1" zoomScale="75" workbookViewId="0"/>
  </sheetViews>
  <sheetFormatPr defaultRowHeight="12.75" x14ac:dyDescent="0.2"/>
  <cols>
    <col min="2" max="2" width="8.85546875" style="1" customWidth="1"/>
    <col min="4" max="4" width="8.85546875" style="1" customWidth="1"/>
    <col min="5" max="5" width="27.42578125" style="2" customWidth="1"/>
    <col min="6" max="6" width="12.28515625" style="4" bestFit="1" customWidth="1"/>
    <col min="7" max="7" width="12.28515625" bestFit="1" customWidth="1"/>
    <col min="10" max="10" width="10" customWidth="1"/>
    <col min="16" max="18" width="4.42578125" customWidth="1"/>
  </cols>
  <sheetData>
    <row r="1" spans="1:6" ht="17.45" customHeight="1" x14ac:dyDescent="0.25">
      <c r="A1" s="34" t="s">
        <v>99</v>
      </c>
    </row>
    <row r="2" spans="1:6" x14ac:dyDescent="0.2">
      <c r="A2" s="17" t="s">
        <v>82</v>
      </c>
      <c r="E2" s="3"/>
    </row>
    <row r="3" spans="1:6" x14ac:dyDescent="0.2">
      <c r="A3" s="18" t="s">
        <v>83</v>
      </c>
      <c r="D3" s="1" t="s">
        <v>0</v>
      </c>
      <c r="E3" s="2" t="s">
        <v>5</v>
      </c>
      <c r="F3" s="4" t="s">
        <v>4</v>
      </c>
    </row>
    <row r="4" spans="1:6" x14ac:dyDescent="0.2">
      <c r="D4" s="1" t="s">
        <v>2</v>
      </c>
      <c r="E4" s="19">
        <v>60</v>
      </c>
      <c r="F4" s="4" t="s">
        <v>3</v>
      </c>
    </row>
    <row r="5" spans="1:6" x14ac:dyDescent="0.2">
      <c r="D5" s="1" t="s">
        <v>6</v>
      </c>
      <c r="E5" s="19">
        <v>12</v>
      </c>
      <c r="F5" s="4" t="s">
        <v>7</v>
      </c>
    </row>
    <row r="6" spans="1:6" x14ac:dyDescent="0.2">
      <c r="D6" s="1" t="s">
        <v>9</v>
      </c>
      <c r="E6" s="5">
        <v>30000000</v>
      </c>
      <c r="F6" s="4" t="s">
        <v>10</v>
      </c>
    </row>
    <row r="7" spans="1:6" x14ac:dyDescent="0.2">
      <c r="D7" s="1" t="s">
        <v>8</v>
      </c>
      <c r="E7" s="5">
        <v>2000000</v>
      </c>
      <c r="F7" s="4" t="s">
        <v>32</v>
      </c>
    </row>
    <row r="8" spans="1:6" x14ac:dyDescent="0.2">
      <c r="D8" s="1" t="s">
        <v>11</v>
      </c>
      <c r="E8" s="2">
        <v>48</v>
      </c>
      <c r="F8" s="4" t="s">
        <v>12</v>
      </c>
    </row>
    <row r="9" spans="1:6" x14ac:dyDescent="0.2">
      <c r="D9" s="1" t="s">
        <v>31</v>
      </c>
      <c r="E9" s="6">
        <f>H*TAN((1/3600)/Rad)</f>
        <v>2.9088796296524203E-4</v>
      </c>
      <c r="F9" s="4" t="s">
        <v>15</v>
      </c>
    </row>
    <row r="10" spans="1:6" x14ac:dyDescent="0.2">
      <c r="D10" s="1" t="s">
        <v>13</v>
      </c>
      <c r="E10" s="2">
        <v>3.1415899999999999</v>
      </c>
    </row>
    <row r="11" spans="1:6" x14ac:dyDescent="0.2">
      <c r="D11" s="1" t="s">
        <v>14</v>
      </c>
      <c r="E11" s="2">
        <f>180/pi</f>
        <v>57.295827908797776</v>
      </c>
    </row>
    <row r="12" spans="1:6" x14ac:dyDescent="0.2">
      <c r="D12" s="1" t="s">
        <v>18</v>
      </c>
      <c r="E12" s="2">
        <v>0.25</v>
      </c>
      <c r="F12" s="4" t="s">
        <v>21</v>
      </c>
    </row>
    <row r="13" spans="1:6" x14ac:dyDescent="0.2">
      <c r="D13" s="1" t="s">
        <v>20</v>
      </c>
      <c r="E13" s="19">
        <v>8</v>
      </c>
      <c r="F13" s="4" t="s">
        <v>22</v>
      </c>
    </row>
    <row r="14" spans="1:6" x14ac:dyDescent="0.2">
      <c r="B14" s="8"/>
      <c r="C14" s="7"/>
      <c r="D14" s="1" t="s">
        <v>19</v>
      </c>
      <c r="E14" s="7">
        <f>(pi/4)*((dia/2)^4-((dia/2-2*t))^4)</f>
        <v>83.203047656249993</v>
      </c>
      <c r="F14" s="4" t="s">
        <v>23</v>
      </c>
    </row>
    <row r="15" spans="1:6" x14ac:dyDescent="0.2">
      <c r="D15" s="1" t="s">
        <v>27</v>
      </c>
      <c r="E15" s="7">
        <f>Darcsec/(H^3/(Esteel*Ipier)/3)</f>
        <v>10.08448543551105</v>
      </c>
      <c r="F15" s="4" t="s">
        <v>28</v>
      </c>
    </row>
    <row r="16" spans="1:6" x14ac:dyDescent="0.2">
      <c r="D16" s="1" t="s">
        <v>64</v>
      </c>
      <c r="E16" s="7">
        <f>DF*H/D</f>
        <v>50.42242717755525</v>
      </c>
      <c r="F16" s="4" t="s">
        <v>65</v>
      </c>
    </row>
    <row r="17" spans="1:14" x14ac:dyDescent="0.2">
      <c r="D17" s="1" t="s">
        <v>1</v>
      </c>
      <c r="E17" s="19">
        <v>24</v>
      </c>
      <c r="F17" s="4" t="s">
        <v>71</v>
      </c>
    </row>
    <row r="18" spans="1:14" x14ac:dyDescent="0.2">
      <c r="E18" s="14"/>
    </row>
    <row r="19" spans="1:14" x14ac:dyDescent="0.2">
      <c r="A19" s="27" t="s">
        <v>38</v>
      </c>
      <c r="B19" s="28"/>
      <c r="C19" s="29"/>
      <c r="D19" s="28"/>
      <c r="E19" s="32"/>
      <c r="F19" s="33"/>
    </row>
    <row r="20" spans="1:14" x14ac:dyDescent="0.2">
      <c r="B20" s="1" t="s">
        <v>40</v>
      </c>
      <c r="C20" t="s">
        <v>16</v>
      </c>
    </row>
    <row r="21" spans="1:14" x14ac:dyDescent="0.2">
      <c r="C21" t="s">
        <v>17</v>
      </c>
    </row>
    <row r="22" spans="1:14" ht="13.15" customHeight="1" x14ac:dyDescent="0.2">
      <c r="C22" t="s">
        <v>24</v>
      </c>
      <c r="J22" t="s">
        <v>79</v>
      </c>
      <c r="K22" s="35" t="s">
        <v>81</v>
      </c>
      <c r="L22" s="36"/>
      <c r="M22" s="36"/>
      <c r="N22" s="37"/>
    </row>
    <row r="23" spans="1:14" x14ac:dyDescent="0.2">
      <c r="B23" s="1" t="s">
        <v>25</v>
      </c>
      <c r="K23" s="38"/>
      <c r="L23" s="39"/>
      <c r="M23" s="39"/>
      <c r="N23" s="40"/>
    </row>
    <row r="24" spans="1:14" x14ac:dyDescent="0.2">
      <c r="C24" t="s">
        <v>29</v>
      </c>
      <c r="K24" s="38"/>
      <c r="L24" s="39"/>
      <c r="M24" s="39"/>
      <c r="N24" s="40"/>
    </row>
    <row r="25" spans="1:14" x14ac:dyDescent="0.2">
      <c r="C25" t="s">
        <v>30</v>
      </c>
      <c r="K25" s="38"/>
      <c r="L25" s="39"/>
      <c r="M25" s="39"/>
      <c r="N25" s="40"/>
    </row>
    <row r="26" spans="1:14" x14ac:dyDescent="0.2">
      <c r="B26" s="1" t="s">
        <v>33</v>
      </c>
      <c r="K26" s="38"/>
      <c r="L26" s="39"/>
      <c r="M26" s="39"/>
      <c r="N26" s="40"/>
    </row>
    <row r="27" spans="1:14" x14ac:dyDescent="0.2">
      <c r="C27" t="s">
        <v>35</v>
      </c>
      <c r="D27" s="8">
        <f>DF</f>
        <v>10.08448543551105</v>
      </c>
      <c r="E27" s="2" t="s">
        <v>37</v>
      </c>
      <c r="K27" s="41"/>
      <c r="L27" s="42"/>
      <c r="M27" s="42"/>
      <c r="N27" s="43"/>
    </row>
    <row r="28" spans="1:14" x14ac:dyDescent="0.2">
      <c r="C28" t="s">
        <v>26</v>
      </c>
      <c r="D28" s="9">
        <f>DF*H</f>
        <v>605.06912613066299</v>
      </c>
    </row>
    <row r="29" spans="1:14" x14ac:dyDescent="0.2">
      <c r="B29" s="11" t="s">
        <v>78</v>
      </c>
      <c r="C29" s="12" t="s">
        <v>34</v>
      </c>
      <c r="D29" s="13">
        <f>-(DF*H^3/(Esteel*Ipier))/3</f>
        <v>-2.9088796296524209E-4</v>
      </c>
      <c r="E29" s="14" t="s">
        <v>36</v>
      </c>
    </row>
    <row r="31" spans="1:14" x14ac:dyDescent="0.2">
      <c r="A31" s="27" t="s">
        <v>39</v>
      </c>
      <c r="B31" s="28"/>
      <c r="C31" s="29"/>
      <c r="D31" s="28"/>
      <c r="E31" s="32"/>
      <c r="F31" s="33"/>
    </row>
    <row r="32" spans="1:14" x14ac:dyDescent="0.2">
      <c r="B32" s="1" t="s">
        <v>40</v>
      </c>
      <c r="C32" t="s">
        <v>41</v>
      </c>
    </row>
    <row r="33" spans="1:15" x14ac:dyDescent="0.2">
      <c r="C33" t="s">
        <v>44</v>
      </c>
    </row>
    <row r="34" spans="1:15" x14ac:dyDescent="0.2">
      <c r="B34" s="1" t="s">
        <v>48</v>
      </c>
      <c r="C34" t="s">
        <v>49</v>
      </c>
    </row>
    <row r="35" spans="1:15" x14ac:dyDescent="0.2">
      <c r="B35" s="1" t="s">
        <v>33</v>
      </c>
    </row>
    <row r="36" spans="1:15" x14ac:dyDescent="0.2">
      <c r="C36" t="s">
        <v>35</v>
      </c>
      <c r="D36" s="8">
        <f>DF</f>
        <v>10.08448543551105</v>
      </c>
      <c r="E36" s="2" t="s">
        <v>37</v>
      </c>
      <c r="L36" s="35" t="s">
        <v>80</v>
      </c>
      <c r="M36" s="36"/>
      <c r="N36" s="36"/>
      <c r="O36" s="37"/>
    </row>
    <row r="37" spans="1:15" x14ac:dyDescent="0.2">
      <c r="C37" t="s">
        <v>26</v>
      </c>
      <c r="D37" s="9">
        <f>DF*H</f>
        <v>605.06912613066299</v>
      </c>
      <c r="L37" s="38"/>
      <c r="M37" s="39"/>
      <c r="N37" s="39"/>
      <c r="O37" s="40"/>
    </row>
    <row r="38" spans="1:15" x14ac:dyDescent="0.2">
      <c r="C38" t="s">
        <v>43</v>
      </c>
      <c r="D38" s="1" t="s">
        <v>45</v>
      </c>
      <c r="E38" s="1" t="s">
        <v>46</v>
      </c>
      <c r="F38" s="4" t="s">
        <v>47</v>
      </c>
      <c r="G38" t="s">
        <v>42</v>
      </c>
      <c r="H38" t="s">
        <v>50</v>
      </c>
      <c r="L38" s="38"/>
      <c r="M38" s="39"/>
      <c r="N38" s="39"/>
      <c r="O38" s="40"/>
    </row>
    <row r="39" spans="1:15" x14ac:dyDescent="0.2">
      <c r="C39" s="2">
        <v>12</v>
      </c>
      <c r="D39" s="9">
        <f>(DF*(H+C39))/(C39)</f>
        <v>60.506912613066305</v>
      </c>
      <c r="E39" s="7">
        <f>D39/(dia*4)</f>
        <v>1.890841019158322</v>
      </c>
      <c r="F39" s="4">
        <f>E39/Econcrete</f>
        <v>9.4542050957916105E-7</v>
      </c>
      <c r="G39" s="5">
        <f>((H+C39)/C39)*F39</f>
        <v>5.6725230574749665E-6</v>
      </c>
      <c r="H39" s="15">
        <f>G39/Darcsec</f>
        <v>1.9500714294433598E-2</v>
      </c>
      <c r="L39" s="38"/>
      <c r="M39" s="39"/>
      <c r="N39" s="39"/>
      <c r="O39" s="40"/>
    </row>
    <row r="40" spans="1:15" x14ac:dyDescent="0.2">
      <c r="C40" s="2">
        <v>18</v>
      </c>
      <c r="D40" s="9">
        <f t="shared" ref="D40:D45" si="0">(DF*(H+C40))/(C40)</f>
        <v>43.699436887214546</v>
      </c>
      <c r="E40" s="7">
        <f t="shared" ref="E40:E45" si="1">D40/(dia*4)</f>
        <v>1.3656074027254546</v>
      </c>
      <c r="F40" s="4">
        <f t="shared" ref="F40:F45" si="2">E40/Econcrete</f>
        <v>6.8280370136272728E-7</v>
      </c>
      <c r="G40" s="5">
        <f t="shared" ref="G40:G45" si="3">((H+C40)/C40)*F40</f>
        <v>2.9588160392384849E-6</v>
      </c>
      <c r="H40" s="15">
        <f t="shared" ref="H40:H45" si="4">G40/Darcsec</f>
        <v>1.0171668875800238E-2</v>
      </c>
      <c r="L40" s="38"/>
      <c r="M40" s="39"/>
      <c r="N40" s="39"/>
      <c r="O40" s="40"/>
    </row>
    <row r="41" spans="1:15" x14ac:dyDescent="0.2">
      <c r="C41" s="2">
        <v>24</v>
      </c>
      <c r="D41" s="9">
        <f t="shared" si="0"/>
        <v>35.295699024288673</v>
      </c>
      <c r="E41" s="7">
        <f t="shared" si="1"/>
        <v>1.102990594509021</v>
      </c>
      <c r="F41" s="4">
        <f t="shared" si="2"/>
        <v>5.5149529725451055E-7</v>
      </c>
      <c r="G41" s="5">
        <f t="shared" si="3"/>
        <v>1.930233540390787E-6</v>
      </c>
      <c r="H41" s="15">
        <f t="shared" si="4"/>
        <v>6.6356597251892094E-3</v>
      </c>
      <c r="L41" s="41"/>
      <c r="M41" s="42"/>
      <c r="N41" s="42"/>
      <c r="O41" s="43"/>
    </row>
    <row r="42" spans="1:15" x14ac:dyDescent="0.2">
      <c r="C42" s="2">
        <v>30</v>
      </c>
      <c r="D42" s="9">
        <f t="shared" si="0"/>
        <v>30.253456306533153</v>
      </c>
      <c r="E42" s="7">
        <f t="shared" si="1"/>
        <v>0.94542050957916102</v>
      </c>
      <c r="F42" s="4">
        <f t="shared" si="2"/>
        <v>4.7271025478958053E-7</v>
      </c>
      <c r="G42" s="5">
        <f t="shared" si="3"/>
        <v>1.4181307643687416E-6</v>
      </c>
      <c r="H42" s="15">
        <f t="shared" si="4"/>
        <v>4.8751785736083995E-3</v>
      </c>
    </row>
    <row r="43" spans="1:15" x14ac:dyDescent="0.2">
      <c r="C43" s="2">
        <v>36</v>
      </c>
      <c r="D43" s="9">
        <f t="shared" si="0"/>
        <v>26.891961161362801</v>
      </c>
      <c r="E43" s="7">
        <f t="shared" si="1"/>
        <v>0.84037378629258752</v>
      </c>
      <c r="F43" s="4">
        <f t="shared" si="2"/>
        <v>4.2018689314629377E-7</v>
      </c>
      <c r="G43" s="5">
        <f t="shared" si="3"/>
        <v>1.1204983817234501E-6</v>
      </c>
      <c r="H43" s="15">
        <f t="shared" si="4"/>
        <v>3.8519929470486117E-3</v>
      </c>
    </row>
    <row r="44" spans="1:15" x14ac:dyDescent="0.2">
      <c r="C44" s="2">
        <v>42</v>
      </c>
      <c r="D44" s="9">
        <f t="shared" si="0"/>
        <v>24.490893200526838</v>
      </c>
      <c r="E44" s="7">
        <f t="shared" si="1"/>
        <v>0.76534041251646368</v>
      </c>
      <c r="F44" s="4">
        <f t="shared" si="2"/>
        <v>3.8267020625823184E-7</v>
      </c>
      <c r="G44" s="5">
        <f t="shared" si="3"/>
        <v>9.2934192948427721E-7</v>
      </c>
      <c r="H44" s="15">
        <f t="shared" si="4"/>
        <v>3.194844915584642E-3</v>
      </c>
    </row>
    <row r="45" spans="1:15" x14ac:dyDescent="0.2">
      <c r="C45" s="2">
        <v>48</v>
      </c>
      <c r="D45" s="9">
        <f t="shared" si="0"/>
        <v>22.690092229899861</v>
      </c>
      <c r="E45" s="7">
        <f t="shared" si="1"/>
        <v>0.70906538218437065</v>
      </c>
      <c r="F45" s="4">
        <f t="shared" si="2"/>
        <v>3.545326910921853E-7</v>
      </c>
      <c r="G45" s="5">
        <f t="shared" si="3"/>
        <v>7.9769855495741696E-7</v>
      </c>
      <c r="H45" s="15">
        <f t="shared" si="4"/>
        <v>2.7422879476547242E-3</v>
      </c>
    </row>
    <row r="47" spans="1:15" x14ac:dyDescent="0.2">
      <c r="A47" s="27" t="s">
        <v>98</v>
      </c>
      <c r="B47" s="28"/>
      <c r="C47" s="29"/>
      <c r="D47" s="28"/>
      <c r="E47" s="32"/>
      <c r="F47" s="33"/>
    </row>
    <row r="48" spans="1:15" x14ac:dyDescent="0.2">
      <c r="B48" s="1" t="s">
        <v>40</v>
      </c>
      <c r="C48" t="s">
        <v>41</v>
      </c>
    </row>
    <row r="49" spans="2:7" x14ac:dyDescent="0.2">
      <c r="C49" t="s">
        <v>51</v>
      </c>
    </row>
    <row r="50" spans="2:7" x14ac:dyDescent="0.2">
      <c r="C50" t="s">
        <v>52</v>
      </c>
    </row>
    <row r="51" spans="2:7" x14ac:dyDescent="0.2">
      <c r="C51" t="s">
        <v>63</v>
      </c>
    </row>
    <row r="52" spans="2:7" x14ac:dyDescent="0.2">
      <c r="B52" s="1" t="s">
        <v>48</v>
      </c>
      <c r="C52" t="s">
        <v>49</v>
      </c>
    </row>
    <row r="53" spans="2:7" x14ac:dyDescent="0.2">
      <c r="C53" t="s">
        <v>53</v>
      </c>
    </row>
    <row r="54" spans="2:7" x14ac:dyDescent="0.2">
      <c r="C54" t="s">
        <v>29</v>
      </c>
    </row>
    <row r="55" spans="2:7" x14ac:dyDescent="0.2">
      <c r="C55" t="s">
        <v>30</v>
      </c>
    </row>
    <row r="56" spans="2:7" x14ac:dyDescent="0.2">
      <c r="C56" s="1" t="s">
        <v>67</v>
      </c>
      <c r="D56" s="20">
        <f>L/2-D/2</f>
        <v>6</v>
      </c>
      <c r="E56" s="4" t="s">
        <v>69</v>
      </c>
    </row>
    <row r="57" spans="2:7" x14ac:dyDescent="0.2">
      <c r="C57" s="1" t="s">
        <v>68</v>
      </c>
      <c r="D57" s="20">
        <f>L-a</f>
        <v>18</v>
      </c>
      <c r="E57" s="4" t="s">
        <v>70</v>
      </c>
    </row>
    <row r="58" spans="2:7" x14ac:dyDescent="0.2">
      <c r="C58" s="1"/>
      <c r="D58" s="4"/>
      <c r="E58" s="4"/>
    </row>
    <row r="59" spans="2:7" x14ac:dyDescent="0.2">
      <c r="B59" s="1" t="s">
        <v>48</v>
      </c>
    </row>
    <row r="60" spans="2:7" x14ac:dyDescent="0.2">
      <c r="C60" s="1" t="s">
        <v>62</v>
      </c>
      <c r="D60" s="4" t="s">
        <v>73</v>
      </c>
      <c r="G60">
        <f>L</f>
        <v>24</v>
      </c>
    </row>
    <row r="61" spans="2:7" x14ac:dyDescent="0.2">
      <c r="C61" s="1" t="s">
        <v>66</v>
      </c>
      <c r="D61" s="4" t="s">
        <v>72</v>
      </c>
    </row>
    <row r="62" spans="2:7" x14ac:dyDescent="0.2">
      <c r="C62" s="1" t="s">
        <v>75</v>
      </c>
      <c r="D62" s="4" t="s">
        <v>76</v>
      </c>
    </row>
    <row r="63" spans="2:7" x14ac:dyDescent="0.2">
      <c r="C63" s="1" t="s">
        <v>74</v>
      </c>
      <c r="D63" s="4" t="s">
        <v>77</v>
      </c>
    </row>
    <row r="64" spans="2:7" x14ac:dyDescent="0.2">
      <c r="B64" s="1" t="s">
        <v>33</v>
      </c>
    </row>
    <row r="65" spans="1:16" s="10" customFormat="1" ht="39" thickBot="1" x14ac:dyDescent="0.25">
      <c r="C65" s="10" t="s">
        <v>54</v>
      </c>
      <c r="D65" s="10" t="s">
        <v>55</v>
      </c>
      <c r="E65" s="10" t="s">
        <v>56</v>
      </c>
      <c r="F65" s="10" t="s">
        <v>57</v>
      </c>
      <c r="G65" s="10" t="s">
        <v>59</v>
      </c>
      <c r="H65" s="10" t="s">
        <v>58</v>
      </c>
      <c r="I65" s="10" t="s">
        <v>60</v>
      </c>
      <c r="J65" s="10" t="s">
        <v>61</v>
      </c>
      <c r="K65" s="10" t="s">
        <v>88</v>
      </c>
    </row>
    <row r="66" spans="1:16" x14ac:dyDescent="0.2">
      <c r="C66">
        <v>1</v>
      </c>
      <c r="D66" s="1">
        <v>4</v>
      </c>
      <c r="E66" s="7">
        <f t="shared" ref="E66:E73" si="5">C66^3*D66/12</f>
        <v>0.33333333333333331</v>
      </c>
      <c r="F66" s="7">
        <f>RF*a*b/L</f>
        <v>226.90092229899861</v>
      </c>
      <c r="G66" s="6">
        <f t="shared" ref="G66:G73" si="6">RF*a*b/(6*Econcrete*E66*L)*(2*L*(L-a)-b^2-(L-a)^2)</f>
        <v>1.2252649804145924E-2</v>
      </c>
      <c r="H66" s="7">
        <f>RF*a/L*(L-b)</f>
        <v>75.633640766332874</v>
      </c>
      <c r="I66" s="6">
        <f>RF*a*(L-b)/(6*Econcrete*$E66*L)*(2*L*b-b^2-(L-b)^2)</f>
        <v>9.5298387365579437E-3</v>
      </c>
      <c r="J66" s="6">
        <f t="shared" ref="J66:J73" si="7">2*(G66-I66)</f>
        <v>5.4456221351759614E-3</v>
      </c>
      <c r="K66" s="26">
        <f t="shared" ref="K66:K73" si="8">J66/Darcsec</f>
        <v>18.720685722656231</v>
      </c>
      <c r="M66" s="44" t="s">
        <v>84</v>
      </c>
      <c r="N66" s="45"/>
      <c r="O66" s="45"/>
      <c r="P66" s="46"/>
    </row>
    <row r="67" spans="1:16" x14ac:dyDescent="0.2">
      <c r="C67">
        <v>2</v>
      </c>
      <c r="D67" s="1">
        <v>8</v>
      </c>
      <c r="E67" s="7">
        <f t="shared" si="5"/>
        <v>5.333333333333333</v>
      </c>
      <c r="F67" s="7">
        <f t="shared" ref="F67:F73" si="9">RF*a*b/L</f>
        <v>226.90092229899861</v>
      </c>
      <c r="G67" s="6">
        <f t="shared" si="6"/>
        <v>7.6579061275912027E-4</v>
      </c>
      <c r="H67" s="7">
        <f t="shared" ref="H67:H73" si="10">RF*a/L*(L-b)</f>
        <v>75.633640766332874</v>
      </c>
      <c r="I67" s="6">
        <f t="shared" ref="I67:I73" si="11">RF*a*(L-b)/(6*Econcrete*$E67*L)*(2*L*b-b^2-(L-b)^2)</f>
        <v>5.9561492103487148E-4</v>
      </c>
      <c r="J67" s="6">
        <f t="shared" si="7"/>
        <v>3.4035138344849758E-4</v>
      </c>
      <c r="K67" s="26">
        <f t="shared" si="8"/>
        <v>1.1700428576660145</v>
      </c>
      <c r="M67" s="47"/>
      <c r="N67" s="48"/>
      <c r="O67" s="48"/>
      <c r="P67" s="49"/>
    </row>
    <row r="68" spans="1:16" x14ac:dyDescent="0.2">
      <c r="C68">
        <v>3</v>
      </c>
      <c r="D68" s="1">
        <v>8</v>
      </c>
      <c r="E68" s="7">
        <f t="shared" si="5"/>
        <v>18</v>
      </c>
      <c r="F68" s="7">
        <f t="shared" si="9"/>
        <v>226.90092229899861</v>
      </c>
      <c r="G68" s="6">
        <f t="shared" si="6"/>
        <v>2.2690092229899861E-4</v>
      </c>
      <c r="H68" s="7">
        <f t="shared" si="10"/>
        <v>75.633640766332874</v>
      </c>
      <c r="I68" s="6">
        <f t="shared" si="11"/>
        <v>1.764784951214434E-4</v>
      </c>
      <c r="J68" s="6">
        <f t="shared" si="7"/>
        <v>1.0084485435511042E-4</v>
      </c>
      <c r="K68" s="26">
        <f t="shared" si="8"/>
        <v>0.34667936523437476</v>
      </c>
      <c r="M68" s="47"/>
      <c r="N68" s="48"/>
      <c r="O68" s="48"/>
      <c r="P68" s="49"/>
    </row>
    <row r="69" spans="1:16" x14ac:dyDescent="0.2">
      <c r="C69">
        <v>4</v>
      </c>
      <c r="D69" s="1">
        <v>8</v>
      </c>
      <c r="E69" s="7">
        <f t="shared" si="5"/>
        <v>42.666666666666664</v>
      </c>
      <c r="F69" s="7">
        <f t="shared" si="9"/>
        <v>226.90092229899861</v>
      </c>
      <c r="G69" s="6">
        <f t="shared" si="6"/>
        <v>9.5723826594890034E-5</v>
      </c>
      <c r="H69" s="7">
        <f t="shared" si="10"/>
        <v>75.633640766332874</v>
      </c>
      <c r="I69" s="6">
        <f t="shared" si="11"/>
        <v>7.4451865129358935E-5</v>
      </c>
      <c r="J69" s="6">
        <f t="shared" si="7"/>
        <v>4.2543922931062198E-5</v>
      </c>
      <c r="K69" s="26">
        <f t="shared" si="8"/>
        <v>0.14625535720825181</v>
      </c>
      <c r="M69" s="47"/>
      <c r="N69" s="48"/>
      <c r="O69" s="48"/>
      <c r="P69" s="49"/>
    </row>
    <row r="70" spans="1:16" ht="13.5" thickBot="1" x14ac:dyDescent="0.25">
      <c r="C70">
        <v>6</v>
      </c>
      <c r="D70" s="1">
        <v>8</v>
      </c>
      <c r="E70" s="7">
        <f t="shared" si="5"/>
        <v>144</v>
      </c>
      <c r="F70" s="7">
        <f t="shared" si="9"/>
        <v>226.90092229899861</v>
      </c>
      <c r="G70" s="6">
        <f t="shared" si="6"/>
        <v>2.8362615287374826E-5</v>
      </c>
      <c r="H70" s="7">
        <f t="shared" si="10"/>
        <v>75.633640766332874</v>
      </c>
      <c r="I70" s="6">
        <f t="shared" si="11"/>
        <v>2.2059811890180425E-5</v>
      </c>
      <c r="J70" s="6">
        <f t="shared" si="7"/>
        <v>1.2605606794388802E-5</v>
      </c>
      <c r="K70" s="26">
        <f t="shared" si="8"/>
        <v>4.3334920654296845E-2</v>
      </c>
      <c r="M70" s="50"/>
      <c r="N70" s="51"/>
      <c r="O70" s="51"/>
      <c r="P70" s="52"/>
    </row>
    <row r="71" spans="1:16" x14ac:dyDescent="0.2">
      <c r="C71">
        <v>10</v>
      </c>
      <c r="D71" s="1">
        <v>8</v>
      </c>
      <c r="E71" s="7">
        <f t="shared" si="5"/>
        <v>666.66666666666663</v>
      </c>
      <c r="F71" s="7">
        <f t="shared" si="9"/>
        <v>226.90092229899861</v>
      </c>
      <c r="G71" s="6">
        <f t="shared" si="6"/>
        <v>6.1263249020729626E-6</v>
      </c>
      <c r="H71" s="7">
        <f t="shared" si="10"/>
        <v>75.633640766332874</v>
      </c>
      <c r="I71" s="6">
        <f t="shared" si="11"/>
        <v>4.7649193682789718E-6</v>
      </c>
      <c r="J71" s="6">
        <f t="shared" si="7"/>
        <v>2.7228110675879815E-6</v>
      </c>
      <c r="K71" s="26">
        <f t="shared" si="8"/>
        <v>9.3603428613281189E-3</v>
      </c>
      <c r="M71" s="16"/>
      <c r="N71" s="16"/>
      <c r="O71" s="16"/>
      <c r="P71" s="16"/>
    </row>
    <row r="72" spans="1:16" x14ac:dyDescent="0.2">
      <c r="C72">
        <v>16</v>
      </c>
      <c r="D72" s="1">
        <v>8</v>
      </c>
      <c r="E72" s="7">
        <f t="shared" si="5"/>
        <v>2730.6666666666665</v>
      </c>
      <c r="F72" s="7">
        <f t="shared" si="9"/>
        <v>226.90092229899861</v>
      </c>
      <c r="G72" s="6">
        <f t="shared" si="6"/>
        <v>1.4956847905451568E-6</v>
      </c>
      <c r="H72" s="7">
        <f t="shared" si="10"/>
        <v>75.633640766332874</v>
      </c>
      <c r="I72" s="6">
        <f t="shared" si="11"/>
        <v>1.1633103926462334E-6</v>
      </c>
      <c r="J72" s="6">
        <f t="shared" si="7"/>
        <v>6.6474879579784685E-7</v>
      </c>
      <c r="K72" s="26">
        <f t="shared" si="8"/>
        <v>2.2852399563789345E-3</v>
      </c>
      <c r="M72" s="16"/>
      <c r="N72" s="16"/>
      <c r="O72" s="16"/>
      <c r="P72" s="16"/>
    </row>
    <row r="73" spans="1:16" x14ac:dyDescent="0.2">
      <c r="C73">
        <v>24</v>
      </c>
      <c r="D73" s="1">
        <v>8</v>
      </c>
      <c r="E73" s="7">
        <f t="shared" si="5"/>
        <v>9216</v>
      </c>
      <c r="F73" s="7">
        <f t="shared" si="9"/>
        <v>226.90092229899861</v>
      </c>
      <c r="G73" s="6">
        <f t="shared" si="6"/>
        <v>4.4316586386523165E-7</v>
      </c>
      <c r="H73" s="7">
        <f t="shared" si="10"/>
        <v>75.633640766332874</v>
      </c>
      <c r="I73" s="6">
        <f t="shared" si="11"/>
        <v>3.4468456078406913E-7</v>
      </c>
      <c r="J73" s="6">
        <f t="shared" si="7"/>
        <v>1.9696260616232504E-7</v>
      </c>
      <c r="K73" s="26">
        <f t="shared" si="8"/>
        <v>6.771081352233882E-4</v>
      </c>
    </row>
    <row r="74" spans="1:16" x14ac:dyDescent="0.2">
      <c r="D74"/>
      <c r="E74"/>
      <c r="F74"/>
    </row>
    <row r="75" spans="1:16" x14ac:dyDescent="0.2">
      <c r="A75" s="27" t="s">
        <v>86</v>
      </c>
      <c r="B75" s="28"/>
      <c r="C75" s="29"/>
      <c r="D75" s="28"/>
      <c r="E75" s="30"/>
      <c r="F75" s="30"/>
      <c r="G75" s="31"/>
      <c r="H75" s="7"/>
      <c r="I75" s="6"/>
      <c r="J75" s="6"/>
      <c r="K75" s="21"/>
    </row>
    <row r="76" spans="1:16" ht="38.25" x14ac:dyDescent="0.2">
      <c r="C76" s="2" t="s">
        <v>85</v>
      </c>
      <c r="D76" s="2" t="s">
        <v>87</v>
      </c>
      <c r="E76" s="22" t="s">
        <v>89</v>
      </c>
      <c r="F76" s="10" t="s">
        <v>90</v>
      </c>
      <c r="G76" s="10" t="s">
        <v>91</v>
      </c>
      <c r="H76" s="10" t="s">
        <v>88</v>
      </c>
      <c r="I76" s="6"/>
      <c r="J76" s="6"/>
    </row>
    <row r="77" spans="1:16" x14ac:dyDescent="0.2">
      <c r="C77" s="2">
        <v>0.5</v>
      </c>
      <c r="D77" s="2">
        <v>1</v>
      </c>
      <c r="E77" s="7">
        <v>12</v>
      </c>
      <c r="F77" s="7">
        <f t="shared" ref="F77:F97" si="12">DF*H/E77</f>
        <v>50.42242717755525</v>
      </c>
      <c r="G77" s="24">
        <f t="shared" ref="G77:G97" si="13">F77*D77/(pi*(C77/2)^2*Esteel)</f>
        <v>8.5599843268417579E-6</v>
      </c>
      <c r="H77" s="23">
        <f t="shared" ref="H77:H97" si="14">G77/Darcsec</f>
        <v>2.9427083333333333E-2</v>
      </c>
      <c r="I77" s="6"/>
      <c r="J77" s="6"/>
      <c r="K77" s="21"/>
    </row>
    <row r="78" spans="1:16" x14ac:dyDescent="0.2">
      <c r="C78" s="2">
        <v>0.5</v>
      </c>
      <c r="D78" s="2">
        <v>2</v>
      </c>
      <c r="E78" s="7">
        <v>12</v>
      </c>
      <c r="F78" s="7">
        <f t="shared" si="12"/>
        <v>50.42242717755525</v>
      </c>
      <c r="G78" s="24">
        <f t="shared" si="13"/>
        <v>1.7119968653683516E-5</v>
      </c>
      <c r="H78" s="23">
        <f t="shared" si="14"/>
        <v>5.8854166666666666E-2</v>
      </c>
      <c r="I78" s="6"/>
      <c r="J78" s="6"/>
      <c r="K78" s="21"/>
    </row>
    <row r="79" spans="1:16" x14ac:dyDescent="0.2">
      <c r="C79" s="2">
        <v>0.5</v>
      </c>
      <c r="D79" s="2">
        <v>3</v>
      </c>
      <c r="E79" s="7">
        <v>12</v>
      </c>
      <c r="F79" s="7">
        <f t="shared" si="12"/>
        <v>50.42242717755525</v>
      </c>
      <c r="G79" s="24">
        <f t="shared" si="13"/>
        <v>2.5679952980525276E-5</v>
      </c>
      <c r="H79" s="23">
        <f t="shared" si="14"/>
        <v>8.8281250000000006E-2</v>
      </c>
      <c r="I79" s="6"/>
      <c r="J79" s="6"/>
      <c r="K79" s="21"/>
    </row>
    <row r="80" spans="1:16" x14ac:dyDescent="0.2">
      <c r="C80" s="2">
        <v>0.5</v>
      </c>
      <c r="D80" s="2">
        <v>4</v>
      </c>
      <c r="E80" s="7">
        <v>12</v>
      </c>
      <c r="F80" s="7">
        <f t="shared" si="12"/>
        <v>50.42242717755525</v>
      </c>
      <c r="G80" s="24">
        <f t="shared" si="13"/>
        <v>3.4239937307367032E-5</v>
      </c>
      <c r="H80" s="23">
        <f t="shared" si="14"/>
        <v>0.11770833333333333</v>
      </c>
    </row>
    <row r="81" spans="3:8" x14ac:dyDescent="0.2">
      <c r="C81" s="2">
        <v>0.5</v>
      </c>
      <c r="D81" s="2">
        <v>10</v>
      </c>
      <c r="E81" s="7">
        <v>12</v>
      </c>
      <c r="F81" s="7">
        <f t="shared" si="12"/>
        <v>50.42242717755525</v>
      </c>
      <c r="G81" s="24">
        <f t="shared" si="13"/>
        <v>8.5599843268417583E-5</v>
      </c>
      <c r="H81" s="23">
        <f t="shared" si="14"/>
        <v>0.29427083333333337</v>
      </c>
    </row>
    <row r="82" spans="3:8" x14ac:dyDescent="0.2">
      <c r="C82" s="2">
        <v>0.5</v>
      </c>
      <c r="D82" s="2">
        <v>16</v>
      </c>
      <c r="E82" s="7">
        <v>12</v>
      </c>
      <c r="F82" s="7">
        <f t="shared" si="12"/>
        <v>50.42242717755525</v>
      </c>
      <c r="G82" s="24">
        <f t="shared" si="13"/>
        <v>1.3695974922946813E-4</v>
      </c>
      <c r="H82" s="23">
        <f t="shared" si="14"/>
        <v>0.47083333333333333</v>
      </c>
    </row>
    <row r="83" spans="3:8" x14ac:dyDescent="0.2">
      <c r="C83" s="2">
        <v>0.5</v>
      </c>
      <c r="D83" s="2">
        <v>24</v>
      </c>
      <c r="E83" s="7">
        <v>12</v>
      </c>
      <c r="F83" s="7">
        <f t="shared" si="12"/>
        <v>50.42242717755525</v>
      </c>
      <c r="G83" s="24">
        <f t="shared" si="13"/>
        <v>2.054396238442022E-4</v>
      </c>
      <c r="H83" s="23">
        <f t="shared" si="14"/>
        <v>0.70625000000000004</v>
      </c>
    </row>
    <row r="84" spans="3:8" x14ac:dyDescent="0.2">
      <c r="C84" s="2">
        <v>0.75</v>
      </c>
      <c r="D84" s="2">
        <v>1</v>
      </c>
      <c r="E84" s="7">
        <v>12</v>
      </c>
      <c r="F84" s="7">
        <f t="shared" si="12"/>
        <v>50.42242717755525</v>
      </c>
      <c r="G84" s="24">
        <f t="shared" si="13"/>
        <v>3.8044374785963372E-6</v>
      </c>
      <c r="H84" s="23">
        <f t="shared" si="14"/>
        <v>1.3078703703703705E-2</v>
      </c>
    </row>
    <row r="85" spans="3:8" x14ac:dyDescent="0.2">
      <c r="C85" s="2">
        <v>0.75</v>
      </c>
      <c r="D85" s="2">
        <v>2</v>
      </c>
      <c r="E85" s="7">
        <v>12</v>
      </c>
      <c r="F85" s="7">
        <f t="shared" si="12"/>
        <v>50.42242717755525</v>
      </c>
      <c r="G85" s="24">
        <f t="shared" si="13"/>
        <v>7.6088749571926744E-6</v>
      </c>
      <c r="H85" s="23">
        <f t="shared" si="14"/>
        <v>2.615740740740741E-2</v>
      </c>
    </row>
    <row r="86" spans="3:8" x14ac:dyDescent="0.2">
      <c r="C86" s="2">
        <v>0.75</v>
      </c>
      <c r="D86" s="2">
        <v>3</v>
      </c>
      <c r="E86" s="7">
        <v>12</v>
      </c>
      <c r="F86" s="7">
        <f t="shared" si="12"/>
        <v>50.42242717755525</v>
      </c>
      <c r="G86" s="24">
        <f t="shared" si="13"/>
        <v>1.1413312435789011E-5</v>
      </c>
      <c r="H86" s="23">
        <f t="shared" si="14"/>
        <v>3.923611111111111E-2</v>
      </c>
    </row>
    <row r="87" spans="3:8" x14ac:dyDescent="0.2">
      <c r="C87" s="2">
        <v>0.75</v>
      </c>
      <c r="D87" s="2">
        <v>4</v>
      </c>
      <c r="E87" s="7">
        <v>12</v>
      </c>
      <c r="F87" s="7">
        <f t="shared" si="12"/>
        <v>50.42242717755525</v>
      </c>
      <c r="G87" s="24">
        <f t="shared" si="13"/>
        <v>1.5217749914385349E-5</v>
      </c>
      <c r="H87" s="23">
        <f t="shared" si="14"/>
        <v>5.2314814814814821E-2</v>
      </c>
    </row>
    <row r="88" spans="3:8" x14ac:dyDescent="0.2">
      <c r="C88" s="2">
        <v>0.75</v>
      </c>
      <c r="D88" s="2">
        <v>10</v>
      </c>
      <c r="E88" s="7">
        <v>12</v>
      </c>
      <c r="F88" s="7">
        <f t="shared" si="12"/>
        <v>50.42242717755525</v>
      </c>
      <c r="G88" s="24">
        <f t="shared" si="13"/>
        <v>3.8044374785963369E-5</v>
      </c>
      <c r="H88" s="23">
        <f t="shared" si="14"/>
        <v>0.13078703703703703</v>
      </c>
    </row>
    <row r="89" spans="3:8" x14ac:dyDescent="0.2">
      <c r="C89" s="2">
        <v>0.75</v>
      </c>
      <c r="D89" s="2">
        <v>16</v>
      </c>
      <c r="E89" s="7">
        <v>12</v>
      </c>
      <c r="F89" s="7">
        <f t="shared" si="12"/>
        <v>50.42242717755525</v>
      </c>
      <c r="G89" s="24">
        <f t="shared" si="13"/>
        <v>6.0870999657541395E-5</v>
      </c>
      <c r="H89" s="23">
        <f t="shared" si="14"/>
        <v>0.20925925925925928</v>
      </c>
    </row>
    <row r="90" spans="3:8" x14ac:dyDescent="0.2">
      <c r="C90" s="2">
        <v>0.75</v>
      </c>
      <c r="D90" s="2">
        <v>24</v>
      </c>
      <c r="E90" s="7">
        <v>12</v>
      </c>
      <c r="F90" s="7">
        <f t="shared" si="12"/>
        <v>50.42242717755525</v>
      </c>
      <c r="G90" s="24">
        <f t="shared" si="13"/>
        <v>9.1306499486312089E-5</v>
      </c>
      <c r="H90" s="23">
        <f t="shared" si="14"/>
        <v>0.31388888888888888</v>
      </c>
    </row>
    <row r="91" spans="3:8" x14ac:dyDescent="0.2">
      <c r="C91" s="2">
        <v>1</v>
      </c>
      <c r="D91" s="2">
        <v>1</v>
      </c>
      <c r="E91" s="7">
        <v>12</v>
      </c>
      <c r="F91" s="7">
        <f t="shared" si="12"/>
        <v>50.42242717755525</v>
      </c>
      <c r="G91" s="24">
        <f t="shared" si="13"/>
        <v>2.1399960817104395E-6</v>
      </c>
      <c r="H91" s="23">
        <f t="shared" si="14"/>
        <v>7.3567708333333332E-3</v>
      </c>
    </row>
    <row r="92" spans="3:8" x14ac:dyDescent="0.2">
      <c r="C92" s="2">
        <v>1</v>
      </c>
      <c r="D92" s="2">
        <v>2</v>
      </c>
      <c r="E92" s="7">
        <v>12</v>
      </c>
      <c r="F92" s="7">
        <f t="shared" si="12"/>
        <v>50.42242717755525</v>
      </c>
      <c r="G92" s="24">
        <f t="shared" si="13"/>
        <v>4.279992163420879E-6</v>
      </c>
      <c r="H92" s="23">
        <f t="shared" si="14"/>
        <v>1.4713541666666666E-2</v>
      </c>
    </row>
    <row r="93" spans="3:8" x14ac:dyDescent="0.2">
      <c r="C93" s="2">
        <v>1</v>
      </c>
      <c r="D93" s="2">
        <v>3</v>
      </c>
      <c r="E93" s="7">
        <v>12</v>
      </c>
      <c r="F93" s="7">
        <f t="shared" si="12"/>
        <v>50.42242717755525</v>
      </c>
      <c r="G93" s="24">
        <f t="shared" si="13"/>
        <v>6.4199882451313189E-6</v>
      </c>
      <c r="H93" s="23">
        <f t="shared" si="14"/>
        <v>2.2070312500000001E-2</v>
      </c>
    </row>
    <row r="94" spans="3:8" x14ac:dyDescent="0.2">
      <c r="C94" s="2">
        <v>1</v>
      </c>
      <c r="D94" s="2">
        <v>4</v>
      </c>
      <c r="E94" s="7">
        <v>12</v>
      </c>
      <c r="F94" s="7">
        <f t="shared" si="12"/>
        <v>50.42242717755525</v>
      </c>
      <c r="G94" s="24">
        <f t="shared" si="13"/>
        <v>8.5599843268417579E-6</v>
      </c>
      <c r="H94" s="23">
        <f t="shared" si="14"/>
        <v>2.9427083333333333E-2</v>
      </c>
    </row>
    <row r="95" spans="3:8" x14ac:dyDescent="0.2">
      <c r="C95" s="2">
        <v>1</v>
      </c>
      <c r="D95" s="2">
        <v>10</v>
      </c>
      <c r="E95" s="7">
        <v>12</v>
      </c>
      <c r="F95" s="7">
        <f t="shared" si="12"/>
        <v>50.42242717755525</v>
      </c>
      <c r="G95" s="24">
        <f t="shared" si="13"/>
        <v>2.1399960817104396E-5</v>
      </c>
      <c r="H95" s="23">
        <f t="shared" si="14"/>
        <v>7.3567708333333343E-2</v>
      </c>
    </row>
    <row r="96" spans="3:8" x14ac:dyDescent="0.2">
      <c r="C96" s="2">
        <v>1</v>
      </c>
      <c r="D96" s="2">
        <v>16</v>
      </c>
      <c r="E96" s="7">
        <v>12</v>
      </c>
      <c r="F96" s="7">
        <f t="shared" si="12"/>
        <v>50.42242717755525</v>
      </c>
      <c r="G96" s="24">
        <f t="shared" si="13"/>
        <v>3.4239937307367032E-5</v>
      </c>
      <c r="H96" s="23">
        <f t="shared" si="14"/>
        <v>0.11770833333333333</v>
      </c>
    </row>
    <row r="97" spans="1:13" x14ac:dyDescent="0.2">
      <c r="C97" s="2">
        <v>1</v>
      </c>
      <c r="D97" s="2">
        <v>24</v>
      </c>
      <c r="E97" s="7">
        <v>12</v>
      </c>
      <c r="F97" s="7">
        <f t="shared" si="12"/>
        <v>50.42242717755525</v>
      </c>
      <c r="G97" s="24">
        <f t="shared" si="13"/>
        <v>5.1359905961050551E-5</v>
      </c>
      <c r="H97" s="23">
        <f t="shared" si="14"/>
        <v>0.17656250000000001</v>
      </c>
    </row>
    <row r="99" spans="1:13" x14ac:dyDescent="0.2">
      <c r="C99" s="2">
        <v>0.5</v>
      </c>
      <c r="D99" s="2">
        <v>4</v>
      </c>
      <c r="E99" s="7">
        <v>12</v>
      </c>
      <c r="F99" s="7">
        <f t="shared" ref="F99:F107" si="15">DF*H/E99</f>
        <v>50.42242717755525</v>
      </c>
      <c r="G99" s="24">
        <f t="shared" ref="G99:G107" si="16">F99*D99/(pi*(C99/2)^2*Esteel)</f>
        <v>3.4239937307367032E-5</v>
      </c>
      <c r="H99" s="23">
        <f t="shared" ref="H99:H107" si="17">G99/Darcsec</f>
        <v>0.11770833333333333</v>
      </c>
    </row>
    <row r="100" spans="1:13" x14ac:dyDescent="0.2">
      <c r="C100" s="2">
        <v>0.5</v>
      </c>
      <c r="D100" s="2">
        <v>4</v>
      </c>
      <c r="E100" s="7">
        <v>14</v>
      </c>
      <c r="F100" s="7">
        <f t="shared" si="15"/>
        <v>43.219223295047357</v>
      </c>
      <c r="G100" s="24">
        <f t="shared" si="16"/>
        <v>2.9348517692028884E-5</v>
      </c>
      <c r="H100" s="23">
        <f t="shared" si="17"/>
        <v>0.10089285714285715</v>
      </c>
    </row>
    <row r="101" spans="1:13" x14ac:dyDescent="0.2">
      <c r="C101" s="2">
        <v>0.5</v>
      </c>
      <c r="D101" s="2">
        <v>4</v>
      </c>
      <c r="E101" s="2">
        <v>16</v>
      </c>
      <c r="F101" s="7">
        <f t="shared" si="15"/>
        <v>37.816820383166437</v>
      </c>
      <c r="G101" s="24">
        <f t="shared" si="16"/>
        <v>2.5679952980525276E-5</v>
      </c>
      <c r="H101" s="23">
        <f t="shared" si="17"/>
        <v>8.8281250000000006E-2</v>
      </c>
    </row>
    <row r="102" spans="1:13" x14ac:dyDescent="0.2">
      <c r="C102" s="2">
        <v>0.75</v>
      </c>
      <c r="D102" s="2">
        <v>4</v>
      </c>
      <c r="E102" s="7">
        <v>12</v>
      </c>
      <c r="F102" s="7">
        <f t="shared" si="15"/>
        <v>50.42242717755525</v>
      </c>
      <c r="G102" s="24">
        <f t="shared" si="16"/>
        <v>1.5217749914385349E-5</v>
      </c>
      <c r="H102" s="23">
        <f t="shared" si="17"/>
        <v>5.2314814814814821E-2</v>
      </c>
    </row>
    <row r="103" spans="1:13" x14ac:dyDescent="0.2">
      <c r="C103" s="2">
        <v>0.75</v>
      </c>
      <c r="D103" s="2">
        <v>4</v>
      </c>
      <c r="E103" s="7">
        <v>14</v>
      </c>
      <c r="F103" s="7">
        <f t="shared" si="15"/>
        <v>43.219223295047357</v>
      </c>
      <c r="G103" s="24">
        <f t="shared" si="16"/>
        <v>1.3043785640901728E-5</v>
      </c>
      <c r="H103" s="23">
        <f t="shared" si="17"/>
        <v>4.4841269841269848E-2</v>
      </c>
    </row>
    <row r="104" spans="1:13" x14ac:dyDescent="0.2">
      <c r="C104" s="2">
        <v>0.75</v>
      </c>
      <c r="D104" s="2">
        <v>4</v>
      </c>
      <c r="E104" s="2">
        <v>16</v>
      </c>
      <c r="F104" s="7">
        <f t="shared" si="15"/>
        <v>37.816820383166437</v>
      </c>
      <c r="G104" s="24">
        <f t="shared" si="16"/>
        <v>1.1413312435789011E-5</v>
      </c>
      <c r="H104" s="23">
        <f t="shared" si="17"/>
        <v>3.923611111111111E-2</v>
      </c>
    </row>
    <row r="105" spans="1:13" x14ac:dyDescent="0.2">
      <c r="C105" s="2">
        <v>1</v>
      </c>
      <c r="D105" s="2">
        <v>4</v>
      </c>
      <c r="E105" s="7">
        <v>12</v>
      </c>
      <c r="F105" s="7">
        <f t="shared" si="15"/>
        <v>50.42242717755525</v>
      </c>
      <c r="G105" s="24">
        <f t="shared" si="16"/>
        <v>8.5599843268417579E-6</v>
      </c>
      <c r="H105" s="23">
        <f t="shared" si="17"/>
        <v>2.9427083333333333E-2</v>
      </c>
    </row>
    <row r="106" spans="1:13" x14ac:dyDescent="0.2">
      <c r="C106" s="2">
        <v>1</v>
      </c>
      <c r="D106" s="2">
        <v>4</v>
      </c>
      <c r="E106" s="7">
        <v>14</v>
      </c>
      <c r="F106" s="7">
        <f t="shared" si="15"/>
        <v>43.219223295047357</v>
      </c>
      <c r="G106" s="24">
        <f t="shared" si="16"/>
        <v>7.3371294230072211E-6</v>
      </c>
      <c r="H106" s="23">
        <f t="shared" si="17"/>
        <v>2.5223214285714286E-2</v>
      </c>
    </row>
    <row r="107" spans="1:13" x14ac:dyDescent="0.2">
      <c r="C107" s="2">
        <v>1</v>
      </c>
      <c r="D107" s="2">
        <v>4</v>
      </c>
      <c r="E107" s="2">
        <v>16</v>
      </c>
      <c r="F107" s="7">
        <f t="shared" si="15"/>
        <v>37.816820383166437</v>
      </c>
      <c r="G107" s="24">
        <f t="shared" si="16"/>
        <v>6.4199882451313189E-6</v>
      </c>
      <c r="H107" s="23">
        <f t="shared" si="17"/>
        <v>2.2070312500000001E-2</v>
      </c>
    </row>
    <row r="109" spans="1:13" x14ac:dyDescent="0.2">
      <c r="A109" s="27" t="s">
        <v>95</v>
      </c>
      <c r="B109" s="28"/>
      <c r="C109" s="29"/>
      <c r="D109" s="28"/>
      <c r="E109" s="32"/>
      <c r="F109" s="33"/>
      <c r="G109" s="29"/>
      <c r="H109" s="29"/>
      <c r="I109" s="29"/>
      <c r="J109" s="29"/>
      <c r="K109" s="29"/>
      <c r="L109" s="29"/>
      <c r="M109" s="29"/>
    </row>
    <row r="110" spans="1:13" ht="25.5" x14ac:dyDescent="0.2">
      <c r="C110" s="25" t="str">
        <f>C76</f>
        <v>J Bolt Dia</v>
      </c>
      <c r="D110" s="25" t="str">
        <f>D76</f>
        <v>J Bolt L</v>
      </c>
      <c r="E110" s="25" t="s">
        <v>94</v>
      </c>
      <c r="F110" s="25" t="s">
        <v>92</v>
      </c>
      <c r="G110" s="25" t="s">
        <v>96</v>
      </c>
      <c r="H110" s="25" t="s">
        <v>93</v>
      </c>
    </row>
    <row r="111" spans="1:13" x14ac:dyDescent="0.2">
      <c r="C111">
        <f t="shared" ref="C111:D130" si="18">C78</f>
        <v>0.5</v>
      </c>
      <c r="D111" s="1">
        <f t="shared" si="18"/>
        <v>2</v>
      </c>
      <c r="E111" s="23">
        <f t="shared" ref="E111:E116" si="19">H78</f>
        <v>5.8854166666666666E-2</v>
      </c>
      <c r="F111" s="23">
        <f t="shared" ref="F111:F116" si="20">K67</f>
        <v>1.1700428576660145</v>
      </c>
      <c r="G111" s="2">
        <v>1</v>
      </c>
      <c r="H111" s="26">
        <f>E111+F111+G111</f>
        <v>2.2288970243326811</v>
      </c>
    </row>
    <row r="112" spans="1:13" x14ac:dyDescent="0.2">
      <c r="C112">
        <f t="shared" si="18"/>
        <v>0.5</v>
      </c>
      <c r="D112" s="1">
        <f t="shared" si="18"/>
        <v>3</v>
      </c>
      <c r="E112" s="23">
        <f t="shared" si="19"/>
        <v>8.8281250000000006E-2</v>
      </c>
      <c r="F112" s="23">
        <f t="shared" si="20"/>
        <v>0.34667936523437476</v>
      </c>
      <c r="G112" s="2">
        <v>1</v>
      </c>
      <c r="H112" s="26">
        <f t="shared" ref="H112:H130" si="21">E112+F112+G112</f>
        <v>1.4349606152343748</v>
      </c>
    </row>
    <row r="113" spans="3:8" x14ac:dyDescent="0.2">
      <c r="C113">
        <f t="shared" si="18"/>
        <v>0.5</v>
      </c>
      <c r="D113" s="1">
        <f t="shared" si="18"/>
        <v>4</v>
      </c>
      <c r="E113" s="23">
        <f t="shared" si="19"/>
        <v>0.11770833333333333</v>
      </c>
      <c r="F113" s="23">
        <f t="shared" si="20"/>
        <v>0.14625535720825181</v>
      </c>
      <c r="G113" s="2">
        <v>1</v>
      </c>
      <c r="H113" s="26">
        <f t="shared" si="21"/>
        <v>1.2639636905415852</v>
      </c>
    </row>
    <row r="114" spans="3:8" x14ac:dyDescent="0.2">
      <c r="C114">
        <f t="shared" si="18"/>
        <v>0.5</v>
      </c>
      <c r="D114" s="1">
        <f t="shared" si="18"/>
        <v>10</v>
      </c>
      <c r="E114" s="23">
        <f t="shared" si="19"/>
        <v>0.29427083333333337</v>
      </c>
      <c r="F114" s="23">
        <f t="shared" si="20"/>
        <v>4.3334920654296845E-2</v>
      </c>
      <c r="G114" s="2">
        <v>1</v>
      </c>
      <c r="H114" s="26">
        <f t="shared" si="21"/>
        <v>1.3376057539876303</v>
      </c>
    </row>
    <row r="115" spans="3:8" x14ac:dyDescent="0.2">
      <c r="C115">
        <f t="shared" si="18"/>
        <v>0.5</v>
      </c>
      <c r="D115" s="1">
        <f t="shared" si="18"/>
        <v>16</v>
      </c>
      <c r="E115" s="23">
        <f t="shared" si="19"/>
        <v>0.47083333333333333</v>
      </c>
      <c r="F115" s="23">
        <f t="shared" si="20"/>
        <v>9.3603428613281189E-3</v>
      </c>
      <c r="G115" s="2">
        <v>1</v>
      </c>
      <c r="H115" s="26">
        <f t="shared" si="21"/>
        <v>1.4801936761946615</v>
      </c>
    </row>
    <row r="116" spans="3:8" x14ac:dyDescent="0.2">
      <c r="C116">
        <f t="shared" si="18"/>
        <v>0.5</v>
      </c>
      <c r="D116" s="1">
        <f t="shared" si="18"/>
        <v>24</v>
      </c>
      <c r="E116" s="23">
        <f t="shared" si="19"/>
        <v>0.70625000000000004</v>
      </c>
      <c r="F116" s="23">
        <f t="shared" si="20"/>
        <v>2.2852399563789345E-3</v>
      </c>
      <c r="G116" s="2">
        <v>1</v>
      </c>
      <c r="H116" s="26">
        <f t="shared" si="21"/>
        <v>1.7085352399563791</v>
      </c>
    </row>
    <row r="117" spans="3:8" x14ac:dyDescent="0.2">
      <c r="C117">
        <f t="shared" si="18"/>
        <v>0.75</v>
      </c>
      <c r="D117" s="1">
        <f t="shared" si="18"/>
        <v>1</v>
      </c>
      <c r="E117" s="23">
        <f t="shared" ref="E117:E124" si="22">H84</f>
        <v>1.3078703703703705E-2</v>
      </c>
      <c r="F117" s="23">
        <f t="shared" ref="F117:F123" si="23">K67</f>
        <v>1.1700428576660145</v>
      </c>
      <c r="G117" s="2">
        <v>1</v>
      </c>
      <c r="H117" s="26">
        <f t="shared" si="21"/>
        <v>2.1831215613697181</v>
      </c>
    </row>
    <row r="118" spans="3:8" x14ac:dyDescent="0.2">
      <c r="C118">
        <f t="shared" si="18"/>
        <v>0.75</v>
      </c>
      <c r="D118" s="1">
        <f t="shared" si="18"/>
        <v>2</v>
      </c>
      <c r="E118" s="23">
        <f t="shared" si="22"/>
        <v>2.615740740740741E-2</v>
      </c>
      <c r="F118" s="23">
        <f t="shared" si="23"/>
        <v>0.34667936523437476</v>
      </c>
      <c r="G118" s="2">
        <v>1</v>
      </c>
      <c r="H118" s="26">
        <f t="shared" si="21"/>
        <v>1.3728367726417821</v>
      </c>
    </row>
    <row r="119" spans="3:8" x14ac:dyDescent="0.2">
      <c r="C119">
        <f t="shared" si="18"/>
        <v>0.75</v>
      </c>
      <c r="D119" s="1">
        <f t="shared" si="18"/>
        <v>3</v>
      </c>
      <c r="E119" s="23">
        <f t="shared" si="22"/>
        <v>3.923611111111111E-2</v>
      </c>
      <c r="F119" s="23">
        <f t="shared" si="23"/>
        <v>0.14625535720825181</v>
      </c>
      <c r="G119" s="2">
        <v>1</v>
      </c>
      <c r="H119" s="26">
        <f t="shared" si="21"/>
        <v>1.1854914683193629</v>
      </c>
    </row>
    <row r="120" spans="3:8" x14ac:dyDescent="0.2">
      <c r="C120">
        <f t="shared" si="18"/>
        <v>0.75</v>
      </c>
      <c r="D120" s="1">
        <f t="shared" si="18"/>
        <v>4</v>
      </c>
      <c r="E120" s="23">
        <f t="shared" si="22"/>
        <v>5.2314814814814821E-2</v>
      </c>
      <c r="F120" s="23">
        <f t="shared" si="23"/>
        <v>4.3334920654296845E-2</v>
      </c>
      <c r="G120" s="2">
        <v>1</v>
      </c>
      <c r="H120" s="26">
        <f t="shared" si="21"/>
        <v>1.0956497354691117</v>
      </c>
    </row>
    <row r="121" spans="3:8" x14ac:dyDescent="0.2">
      <c r="C121">
        <f t="shared" si="18"/>
        <v>0.75</v>
      </c>
      <c r="D121" s="1">
        <f t="shared" si="18"/>
        <v>10</v>
      </c>
      <c r="E121" s="23">
        <f t="shared" si="22"/>
        <v>0.13078703703703703</v>
      </c>
      <c r="F121" s="23">
        <f t="shared" si="23"/>
        <v>9.3603428613281189E-3</v>
      </c>
      <c r="G121" s="2">
        <v>1</v>
      </c>
      <c r="H121" s="26">
        <f t="shared" si="21"/>
        <v>1.1401473798983652</v>
      </c>
    </row>
    <row r="122" spans="3:8" x14ac:dyDescent="0.2">
      <c r="C122">
        <f t="shared" si="18"/>
        <v>0.75</v>
      </c>
      <c r="D122" s="1">
        <f t="shared" si="18"/>
        <v>16</v>
      </c>
      <c r="E122" s="23">
        <f t="shared" si="22"/>
        <v>0.20925925925925928</v>
      </c>
      <c r="F122" s="23">
        <f t="shared" si="23"/>
        <v>2.2852399563789345E-3</v>
      </c>
      <c r="G122" s="2">
        <v>1</v>
      </c>
      <c r="H122" s="26">
        <f t="shared" si="21"/>
        <v>1.2115444992156381</v>
      </c>
    </row>
    <row r="123" spans="3:8" x14ac:dyDescent="0.2">
      <c r="C123">
        <f t="shared" si="18"/>
        <v>0.75</v>
      </c>
      <c r="D123" s="1">
        <f t="shared" si="18"/>
        <v>24</v>
      </c>
      <c r="E123" s="23">
        <f t="shared" si="22"/>
        <v>0.31388888888888888</v>
      </c>
      <c r="F123" s="23">
        <f t="shared" si="23"/>
        <v>6.771081352233882E-4</v>
      </c>
      <c r="G123" s="2">
        <v>1</v>
      </c>
      <c r="H123" s="26">
        <f t="shared" si="21"/>
        <v>1.3145659970241121</v>
      </c>
    </row>
    <row r="124" spans="3:8" x14ac:dyDescent="0.2">
      <c r="C124">
        <f t="shared" si="18"/>
        <v>1</v>
      </c>
      <c r="D124" s="1">
        <f t="shared" si="18"/>
        <v>1</v>
      </c>
      <c r="E124" s="23">
        <f t="shared" si="22"/>
        <v>7.3567708333333332E-3</v>
      </c>
      <c r="F124" s="23">
        <f>K67</f>
        <v>1.1700428576660145</v>
      </c>
      <c r="G124" s="2">
        <v>1</v>
      </c>
      <c r="H124" s="26">
        <f t="shared" si="21"/>
        <v>2.177399628499348</v>
      </c>
    </row>
    <row r="125" spans="3:8" x14ac:dyDescent="0.2">
      <c r="C125">
        <f t="shared" si="18"/>
        <v>1</v>
      </c>
      <c r="D125" s="1">
        <f t="shared" si="18"/>
        <v>2</v>
      </c>
      <c r="E125" s="23">
        <f t="shared" ref="E125:E130" si="24">H92</f>
        <v>1.4713541666666666E-2</v>
      </c>
      <c r="F125" s="23">
        <f t="shared" ref="F125:F130" si="25">K68</f>
        <v>0.34667936523437476</v>
      </c>
      <c r="G125" s="2">
        <v>1</v>
      </c>
      <c r="H125" s="26">
        <f t="shared" si="21"/>
        <v>1.3613929069010413</v>
      </c>
    </row>
    <row r="126" spans="3:8" x14ac:dyDescent="0.2">
      <c r="C126">
        <f t="shared" si="18"/>
        <v>1</v>
      </c>
      <c r="D126" s="1">
        <f t="shared" si="18"/>
        <v>3</v>
      </c>
      <c r="E126" s="23">
        <f t="shared" si="24"/>
        <v>2.2070312500000001E-2</v>
      </c>
      <c r="F126" s="23">
        <f t="shared" si="25"/>
        <v>0.14625535720825181</v>
      </c>
      <c r="G126" s="2">
        <v>1</v>
      </c>
      <c r="H126" s="26">
        <f t="shared" si="21"/>
        <v>1.1683256697082518</v>
      </c>
    </row>
    <row r="127" spans="3:8" x14ac:dyDescent="0.2">
      <c r="C127">
        <f t="shared" si="18"/>
        <v>1</v>
      </c>
      <c r="D127" s="1">
        <f t="shared" si="18"/>
        <v>4</v>
      </c>
      <c r="E127" s="23">
        <f t="shared" si="24"/>
        <v>2.9427083333333333E-2</v>
      </c>
      <c r="F127" s="23">
        <f t="shared" si="25"/>
        <v>4.3334920654296845E-2</v>
      </c>
      <c r="G127" s="2">
        <v>1</v>
      </c>
      <c r="H127" s="26">
        <f t="shared" si="21"/>
        <v>1.0727620039876302</v>
      </c>
    </row>
    <row r="128" spans="3:8" x14ac:dyDescent="0.2">
      <c r="C128">
        <f t="shared" si="18"/>
        <v>1</v>
      </c>
      <c r="D128" s="1">
        <f t="shared" si="18"/>
        <v>10</v>
      </c>
      <c r="E128" s="23">
        <f t="shared" si="24"/>
        <v>7.3567708333333343E-2</v>
      </c>
      <c r="F128" s="23">
        <f t="shared" si="25"/>
        <v>9.3603428613281189E-3</v>
      </c>
      <c r="G128" s="2">
        <v>1</v>
      </c>
      <c r="H128" s="26">
        <f t="shared" si="21"/>
        <v>1.0829280511946615</v>
      </c>
    </row>
    <row r="129" spans="3:12" x14ac:dyDescent="0.2">
      <c r="C129">
        <f t="shared" si="18"/>
        <v>1</v>
      </c>
      <c r="D129" s="1">
        <f t="shared" si="18"/>
        <v>16</v>
      </c>
      <c r="E129" s="23">
        <f t="shared" si="24"/>
        <v>0.11770833333333333</v>
      </c>
      <c r="F129" s="23">
        <f t="shared" si="25"/>
        <v>2.2852399563789345E-3</v>
      </c>
      <c r="G129" s="2">
        <v>1</v>
      </c>
      <c r="H129" s="26">
        <f t="shared" si="21"/>
        <v>1.1199935732897122</v>
      </c>
    </row>
    <row r="130" spans="3:12" x14ac:dyDescent="0.2">
      <c r="C130">
        <f t="shared" si="18"/>
        <v>1</v>
      </c>
      <c r="D130" s="1">
        <f t="shared" si="18"/>
        <v>24</v>
      </c>
      <c r="E130" s="23">
        <f t="shared" si="24"/>
        <v>0.17656250000000001</v>
      </c>
      <c r="F130" s="23">
        <f t="shared" si="25"/>
        <v>6.771081352233882E-4</v>
      </c>
      <c r="G130" s="2">
        <v>1</v>
      </c>
      <c r="H130" s="26">
        <f t="shared" si="21"/>
        <v>1.1772396081352234</v>
      </c>
    </row>
    <row r="131" spans="3:12" ht="13.5" thickBot="1" x14ac:dyDescent="0.25"/>
    <row r="132" spans="3:12" ht="16.5" customHeight="1" x14ac:dyDescent="0.2">
      <c r="I132" s="44" t="s">
        <v>97</v>
      </c>
      <c r="J132" s="45"/>
      <c r="K132" s="45"/>
      <c r="L132" s="46"/>
    </row>
    <row r="133" spans="3:12" ht="16.5" customHeight="1" x14ac:dyDescent="0.2">
      <c r="I133" s="47"/>
      <c r="J133" s="39"/>
      <c r="K133" s="39"/>
      <c r="L133" s="49"/>
    </row>
    <row r="134" spans="3:12" ht="16.5" customHeight="1" x14ac:dyDescent="0.2">
      <c r="I134" s="47"/>
      <c r="J134" s="39"/>
      <c r="K134" s="39"/>
      <c r="L134" s="49"/>
    </row>
    <row r="135" spans="3:12" ht="16.5" customHeight="1" x14ac:dyDescent="0.2">
      <c r="I135" s="47"/>
      <c r="J135" s="39"/>
      <c r="K135" s="39"/>
      <c r="L135" s="49"/>
    </row>
    <row r="136" spans="3:12" ht="16.5" customHeight="1" thickBot="1" x14ac:dyDescent="0.25">
      <c r="I136" s="50"/>
      <c r="J136" s="51"/>
      <c r="K136" s="51"/>
      <c r="L136" s="52"/>
    </row>
  </sheetData>
  <mergeCells count="4">
    <mergeCell ref="K22:N27"/>
    <mergeCell ref="L36:O41"/>
    <mergeCell ref="M66:P70"/>
    <mergeCell ref="I132:L136"/>
  </mergeCells>
  <phoneticPr fontId="0" type="noConversion"/>
  <pageMargins left="0.75" right="0.75" top="1" bottom="1" header="0.5" footer="0.5"/>
  <pageSetup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75" zoomScaleNormal="75" workbookViewId="0"/>
  </sheetViews>
  <sheetFormatPr defaultRowHeight="12.75" x14ac:dyDescent="0.2"/>
  <cols>
    <col min="1" max="1" width="14.42578125" style="4" customWidth="1"/>
    <col min="2" max="2" width="12.85546875" style="4" bestFit="1" customWidth="1"/>
    <col min="3" max="3" width="17.42578125" style="4" bestFit="1" customWidth="1"/>
    <col min="4" max="4" width="14.140625" style="4" bestFit="1" customWidth="1"/>
    <col min="5" max="5" width="13.85546875" style="4" bestFit="1" customWidth="1"/>
    <col min="6" max="6" width="14.28515625" style="4" bestFit="1" customWidth="1"/>
    <col min="7" max="7" width="13.42578125" style="4" bestFit="1" customWidth="1"/>
    <col min="8" max="8" width="16.85546875" style="4" bestFit="1" customWidth="1"/>
    <col min="9" max="9" width="4.85546875" style="4" bestFit="1" customWidth="1"/>
    <col min="10" max="10" width="4" style="4" customWidth="1"/>
    <col min="11" max="11" width="3.7109375" style="4" customWidth="1"/>
    <col min="12" max="12" width="11.140625" style="4" customWidth="1"/>
    <col min="13" max="13" width="12.85546875" style="4" bestFit="1" customWidth="1"/>
    <col min="14" max="14" width="20.5703125" style="4" bestFit="1" customWidth="1"/>
    <col min="15" max="15" width="14.140625" style="4" bestFit="1" customWidth="1"/>
    <col min="16" max="16" width="13.85546875" style="4" bestFit="1" customWidth="1"/>
    <col min="17" max="17" width="14.5703125" style="4" bestFit="1" customWidth="1"/>
    <col min="18" max="18" width="13.42578125" style="4" bestFit="1" customWidth="1"/>
    <col min="19" max="19" width="16.85546875" style="4" bestFit="1" customWidth="1"/>
    <col min="20" max="256" width="19.85546875" style="4" customWidth="1"/>
    <col min="257" max="16384" width="9.140625" style="4"/>
  </cols>
  <sheetData>
    <row r="1" spans="1:19" ht="18.75" x14ac:dyDescent="0.3">
      <c r="A1" s="53" t="s">
        <v>100</v>
      </c>
      <c r="L1" s="125" t="s">
        <v>83</v>
      </c>
      <c r="M1" s="54" t="s">
        <v>101</v>
      </c>
    </row>
    <row r="2" spans="1:19" x14ac:dyDescent="0.2">
      <c r="A2" s="4" t="s">
        <v>102</v>
      </c>
      <c r="L2" s="4" t="s">
        <v>103</v>
      </c>
    </row>
    <row r="3" spans="1:19" x14ac:dyDescent="0.2">
      <c r="A3" s="4" t="s">
        <v>104</v>
      </c>
      <c r="L3" s="4" t="s">
        <v>105</v>
      </c>
    </row>
    <row r="4" spans="1:19" ht="13.5" thickBot="1" x14ac:dyDescent="0.25"/>
    <row r="5" spans="1:19" s="61" customFormat="1" ht="15.75" thickBot="1" x14ac:dyDescent="0.3">
      <c r="A5" s="55" t="s">
        <v>106</v>
      </c>
      <c r="B5" s="56" t="s">
        <v>107</v>
      </c>
      <c r="C5" s="56" t="s">
        <v>108</v>
      </c>
      <c r="D5" s="57" t="s">
        <v>109</v>
      </c>
      <c r="E5" s="58" t="s">
        <v>110</v>
      </c>
      <c r="F5" s="59" t="s">
        <v>111</v>
      </c>
      <c r="G5" s="59" t="s">
        <v>112</v>
      </c>
      <c r="H5" s="60" t="s">
        <v>113</v>
      </c>
      <c r="L5" s="62" t="s">
        <v>106</v>
      </c>
      <c r="M5" s="63" t="s">
        <v>107</v>
      </c>
      <c r="N5" s="63" t="s">
        <v>108</v>
      </c>
      <c r="O5" s="63" t="s">
        <v>109</v>
      </c>
      <c r="P5" s="63" t="s">
        <v>110</v>
      </c>
      <c r="Q5" s="63" t="s">
        <v>111</v>
      </c>
      <c r="R5" s="63" t="s">
        <v>112</v>
      </c>
      <c r="S5" s="64" t="s">
        <v>113</v>
      </c>
    </row>
    <row r="6" spans="1:19" ht="15" x14ac:dyDescent="0.25">
      <c r="A6" s="65" t="s">
        <v>114</v>
      </c>
      <c r="B6" s="66"/>
      <c r="C6" s="67"/>
      <c r="D6" s="68"/>
      <c r="E6" s="68"/>
      <c r="F6" s="69"/>
      <c r="G6" s="69"/>
      <c r="H6" s="67"/>
      <c r="I6" s="70" t="s">
        <v>115</v>
      </c>
      <c r="L6" s="71" t="s">
        <v>116</v>
      </c>
      <c r="M6" s="72"/>
      <c r="N6" s="72"/>
      <c r="O6" s="73"/>
      <c r="P6" s="74"/>
      <c r="Q6" s="74"/>
      <c r="R6" s="74"/>
      <c r="S6" s="75"/>
    </row>
    <row r="7" spans="1:19" ht="18.75" x14ac:dyDescent="0.3">
      <c r="A7" s="76">
        <v>35</v>
      </c>
      <c r="B7" s="77">
        <v>12</v>
      </c>
      <c r="C7" s="78">
        <v>40</v>
      </c>
      <c r="D7" s="79">
        <f>B7/12*A7*0.00256*C7^2*1.2</f>
        <v>172.03200000000001</v>
      </c>
      <c r="E7" s="80">
        <v>0.17757000000000001</v>
      </c>
      <c r="F7" s="81">
        <v>3.3644E-3</v>
      </c>
      <c r="G7" s="81">
        <f>ASIN(F7*2/B7)*180/PI()</f>
        <v>3.2127655115908753E-2</v>
      </c>
      <c r="H7" s="82">
        <f>G7*3600</f>
        <v>115.65955841727151</v>
      </c>
      <c r="I7" s="83"/>
      <c r="K7" s="84"/>
      <c r="L7" s="85">
        <v>14.5</v>
      </c>
      <c r="M7" s="86">
        <v>16</v>
      </c>
      <c r="N7" s="86">
        <v>7</v>
      </c>
      <c r="O7" s="87">
        <f>M7/12*L7*0.00256*N7^2*1.2</f>
        <v>2.9102079999999999</v>
      </c>
      <c r="P7" s="88">
        <f>O7/(L7*12)*(L7*12)^4/8/(29*10^6)/(PI()/4*((M7/2)^4-(M7/2-M8)^4+M9*R9^4))</f>
        <v>7.9970614696283412E-5</v>
      </c>
      <c r="Q7" s="89"/>
      <c r="R7" s="89"/>
      <c r="S7" s="90">
        <f>(O7/(L7*12)*(L7*12)^3/6/(29*10^6)/(PI()/4*((M7/2)^4-(M7/2-M8)^4+M9*R9^4)))*180/PI()*3600</f>
        <v>0.12639941261141832</v>
      </c>
    </row>
    <row r="8" spans="1:19" ht="18.75" x14ac:dyDescent="0.3">
      <c r="A8" s="76">
        <v>15</v>
      </c>
      <c r="B8" s="77">
        <v>12</v>
      </c>
      <c r="C8" s="78">
        <v>40</v>
      </c>
      <c r="D8" s="79">
        <f>B8/12*A8*0.00256*C8^2*1.2</f>
        <v>73.728000000000009</v>
      </c>
      <c r="E8" s="80">
        <v>6.0699999999999999E-3</v>
      </c>
      <c r="F8" s="81">
        <v>2.6574999999999998E-4</v>
      </c>
      <c r="G8" s="81">
        <f>ASIN(F8*2/B8)*180/PI()</f>
        <v>2.5377255684300021E-3</v>
      </c>
      <c r="H8" s="82">
        <f>G8*3600</f>
        <v>9.1358120463480077</v>
      </c>
      <c r="I8" s="83"/>
      <c r="K8" s="84"/>
      <c r="L8" s="76" t="s">
        <v>117</v>
      </c>
      <c r="M8" s="91">
        <v>0.32200000000000001</v>
      </c>
      <c r="N8" s="77" t="s">
        <v>118</v>
      </c>
      <c r="O8" s="92"/>
      <c r="P8" s="92"/>
      <c r="Q8" s="92"/>
      <c r="R8" s="92"/>
      <c r="S8" s="78"/>
    </row>
    <row r="9" spans="1:19" ht="19.5" thickBot="1" x14ac:dyDescent="0.35">
      <c r="A9" s="71" t="s">
        <v>119</v>
      </c>
      <c r="B9" s="72"/>
      <c r="C9" s="75"/>
      <c r="D9" s="93"/>
      <c r="E9" s="94"/>
      <c r="F9" s="95"/>
      <c r="G9" s="95"/>
      <c r="H9" s="96"/>
      <c r="I9" s="83"/>
      <c r="L9" s="97" t="s">
        <v>120</v>
      </c>
      <c r="M9" s="98">
        <v>1</v>
      </c>
      <c r="N9" s="99" t="s">
        <v>121</v>
      </c>
      <c r="O9" s="100"/>
      <c r="P9" s="100"/>
      <c r="Q9" s="100" t="s">
        <v>122</v>
      </c>
      <c r="R9" s="101">
        <f>((3.6/29)*((M7/2-M8)^4))^(1/4)</f>
        <v>4.5574743544582743</v>
      </c>
      <c r="S9" s="102"/>
    </row>
    <row r="10" spans="1:19" ht="15" x14ac:dyDescent="0.25">
      <c r="A10" s="103">
        <v>9</v>
      </c>
      <c r="B10" s="77">
        <v>12</v>
      </c>
      <c r="C10" s="78">
        <v>40</v>
      </c>
      <c r="D10" s="79">
        <f>B10/12*A10*0.00256*C10^2*1.2</f>
        <v>44.236800000000002</v>
      </c>
      <c r="E10" s="80">
        <v>7.9951000000000002E-4</v>
      </c>
      <c r="F10" s="81">
        <v>5.7108000000000003E-5</v>
      </c>
      <c r="G10" s="81">
        <f>ASIN(F10*2/B10)*180/PI()</f>
        <v>5.4534122941375153E-4</v>
      </c>
      <c r="H10" s="82">
        <f>G10*3600</f>
        <v>1.9632284258895054</v>
      </c>
      <c r="I10" s="83"/>
      <c r="M10" s="4" t="s">
        <v>123</v>
      </c>
      <c r="Q10" s="4" t="s">
        <v>124</v>
      </c>
    </row>
    <row r="11" spans="1:19" ht="15" x14ac:dyDescent="0.25">
      <c r="A11" s="103">
        <v>19</v>
      </c>
      <c r="B11" s="77">
        <v>12</v>
      </c>
      <c r="C11" s="78">
        <v>40</v>
      </c>
      <c r="D11" s="79">
        <f>B11/12*A11*0.00256*C11^2*1.2</f>
        <v>93.388799999999989</v>
      </c>
      <c r="E11" s="80">
        <v>1.5495999999999999E-2</v>
      </c>
      <c r="F11" s="81">
        <v>5.3795000000000004E-4</v>
      </c>
      <c r="G11" s="81">
        <f>ASIN(F11*2/B11)*180/PI()</f>
        <v>5.1370441050595612E-3</v>
      </c>
      <c r="H11" s="82">
        <f>G11*3600</f>
        <v>18.493358778214422</v>
      </c>
      <c r="I11" s="83"/>
      <c r="M11" s="4" t="s">
        <v>125</v>
      </c>
    </row>
    <row r="12" spans="1:19" ht="15" x14ac:dyDescent="0.25">
      <c r="A12" s="104">
        <v>26</v>
      </c>
      <c r="B12" s="105">
        <v>12</v>
      </c>
      <c r="C12" s="106">
        <v>40</v>
      </c>
      <c r="D12" s="107">
        <f>B12/12*A12*0.00256*C12^2*1.2</f>
        <v>127.79520000000001</v>
      </c>
      <c r="E12" s="108">
        <v>5.4156000000000003E-2</v>
      </c>
      <c r="F12" s="109">
        <v>1.3787000000000001E-3</v>
      </c>
      <c r="G12" s="109">
        <f>ASIN(F12*2/B12)*180/PI()</f>
        <v>1.3165615318306017E-2</v>
      </c>
      <c r="H12" s="110">
        <f>G12*3600</f>
        <v>47.396215145901664</v>
      </c>
      <c r="I12" s="83"/>
      <c r="M12" t="s">
        <v>126</v>
      </c>
    </row>
    <row r="13" spans="1:19" ht="15" x14ac:dyDescent="0.25">
      <c r="A13" s="111" t="s">
        <v>127</v>
      </c>
      <c r="B13" s="105"/>
      <c r="C13" s="106"/>
      <c r="D13" s="107"/>
      <c r="E13" s="108"/>
      <c r="F13" s="109"/>
      <c r="G13" s="109"/>
      <c r="H13" s="110"/>
      <c r="I13" s="83"/>
      <c r="L13"/>
      <c r="N13"/>
      <c r="O13"/>
      <c r="P13"/>
      <c r="Q13"/>
      <c r="R13"/>
      <c r="S13"/>
    </row>
    <row r="14" spans="1:19" ht="15" x14ac:dyDescent="0.25">
      <c r="A14" s="76">
        <v>19</v>
      </c>
      <c r="B14" s="112">
        <v>12</v>
      </c>
      <c r="C14" s="78">
        <v>40</v>
      </c>
      <c r="D14" s="79">
        <f>B14/12*A14*0.00256*C14^2*1.2</f>
        <v>93.388799999999989</v>
      </c>
      <c r="E14" s="80">
        <v>1.5495999999999999E-2</v>
      </c>
      <c r="F14" s="81">
        <v>5.3795000000000004E-4</v>
      </c>
      <c r="G14" s="81">
        <f>ASIN(F14*2/B14)*180/PI()</f>
        <v>5.1370441050595612E-3</v>
      </c>
      <c r="H14" s="82">
        <f>G14*3600</f>
        <v>18.493358778214422</v>
      </c>
      <c r="I14" s="83"/>
      <c r="L14" s="113" t="s">
        <v>128</v>
      </c>
      <c r="N14"/>
      <c r="O14"/>
      <c r="P14"/>
      <c r="Q14"/>
      <c r="R14"/>
      <c r="S14"/>
    </row>
    <row r="15" spans="1:19" ht="15" x14ac:dyDescent="0.25">
      <c r="A15" s="76">
        <v>19</v>
      </c>
      <c r="B15" s="112">
        <v>18</v>
      </c>
      <c r="C15" s="78">
        <v>40</v>
      </c>
      <c r="D15" s="79">
        <f>B15/12*A15*0.00256*C15^2*1.2</f>
        <v>140.08320000000001</v>
      </c>
      <c r="E15" s="80">
        <v>6.7280999999999999E-3</v>
      </c>
      <c r="F15" s="81">
        <v>3.4844999999999999E-4</v>
      </c>
      <c r="G15" s="81">
        <f>ASIN(F15*2/B15)*180/PI()</f>
        <v>2.218301597369036E-3</v>
      </c>
      <c r="H15" s="82">
        <f>G15*3600</f>
        <v>7.9858857505285297</v>
      </c>
      <c r="I15" s="83"/>
      <c r="L15" s="113" t="s">
        <v>129</v>
      </c>
      <c r="M15"/>
      <c r="N15"/>
      <c r="O15"/>
      <c r="P15"/>
      <c r="Q15"/>
      <c r="R15"/>
      <c r="S15"/>
    </row>
    <row r="16" spans="1:19" ht="15" x14ac:dyDescent="0.25">
      <c r="A16" s="76">
        <v>19</v>
      </c>
      <c r="B16" s="112">
        <v>24</v>
      </c>
      <c r="C16" s="78">
        <v>40</v>
      </c>
      <c r="D16" s="79">
        <f>B16/12*A16*0.00256*C16^2*1.2</f>
        <v>186.77759999999998</v>
      </c>
      <c r="E16" s="80">
        <v>3.7750000000000001E-3</v>
      </c>
      <c r="F16" s="81">
        <v>2.5771000000000002E-4</v>
      </c>
      <c r="G16" s="81">
        <f>ASIN(F16*2/B16)*180/PI()</f>
        <v>1.2304746116209553E-3</v>
      </c>
      <c r="H16" s="82">
        <f>G16*3600</f>
        <v>4.429708601835439</v>
      </c>
      <c r="I16" s="83"/>
      <c r="L16"/>
      <c r="M16"/>
      <c r="N16"/>
      <c r="O16"/>
      <c r="P16"/>
      <c r="Q16"/>
      <c r="R16"/>
      <c r="S16"/>
    </row>
    <row r="17" spans="1:19" ht="15" x14ac:dyDescent="0.25">
      <c r="A17" s="71" t="s">
        <v>130</v>
      </c>
      <c r="B17" s="72"/>
      <c r="C17" s="75"/>
      <c r="D17" s="93"/>
      <c r="E17" s="94"/>
      <c r="F17" s="95"/>
      <c r="G17" s="95"/>
      <c r="H17" s="96"/>
      <c r="I17" s="83"/>
      <c r="L17"/>
      <c r="M17"/>
      <c r="N17"/>
      <c r="O17"/>
      <c r="P17"/>
      <c r="Q17"/>
      <c r="R17"/>
      <c r="S17"/>
    </row>
    <row r="18" spans="1:19" ht="15" x14ac:dyDescent="0.25">
      <c r="A18" s="76">
        <v>19</v>
      </c>
      <c r="B18" s="77">
        <v>12</v>
      </c>
      <c r="C18" s="114">
        <v>15</v>
      </c>
      <c r="D18" s="79">
        <f t="shared" ref="D18:D23" si="0">B18/12*A18*0.00256*C18^2*1.2</f>
        <v>13.132800000000001</v>
      </c>
      <c r="E18" s="80">
        <v>2.1733999999999998E-3</v>
      </c>
      <c r="F18" s="81">
        <v>7.5451000000000007E-5</v>
      </c>
      <c r="G18" s="81">
        <f t="shared" ref="G18:G23" si="1">ASIN(F18*2/B18)*180/PI()</f>
        <v>7.2050397669258526E-4</v>
      </c>
      <c r="H18" s="82">
        <f t="shared" ref="H18:H23" si="2">G18*3600</f>
        <v>2.5938143160933071</v>
      </c>
      <c r="I18" s="83"/>
      <c r="L18"/>
      <c r="M18"/>
      <c r="N18"/>
      <c r="O18"/>
      <c r="P18"/>
      <c r="Q18"/>
      <c r="R18"/>
      <c r="S18"/>
    </row>
    <row r="19" spans="1:19" ht="15" x14ac:dyDescent="0.25">
      <c r="A19" s="76">
        <v>19</v>
      </c>
      <c r="B19" s="77">
        <v>12</v>
      </c>
      <c r="C19" s="114">
        <v>20</v>
      </c>
      <c r="D19" s="79">
        <f t="shared" si="0"/>
        <v>23.347199999999997</v>
      </c>
      <c r="E19" s="80">
        <v>3.8655999999999999E-3</v>
      </c>
      <c r="F19" s="81">
        <v>1.3420000000000001E-4</v>
      </c>
      <c r="G19" s="81">
        <f t="shared" si="1"/>
        <v>1.2815156018827917E-3</v>
      </c>
      <c r="H19" s="82">
        <f t="shared" si="2"/>
        <v>4.6134561667780503</v>
      </c>
      <c r="I19" s="83"/>
      <c r="L19"/>
      <c r="M19"/>
      <c r="N19"/>
      <c r="O19"/>
      <c r="P19"/>
      <c r="Q19"/>
      <c r="R19"/>
      <c r="S19"/>
    </row>
    <row r="20" spans="1:19" ht="15" x14ac:dyDescent="0.25">
      <c r="A20" s="76">
        <v>19</v>
      </c>
      <c r="B20" s="77">
        <v>12</v>
      </c>
      <c r="C20" s="114">
        <v>25</v>
      </c>
      <c r="D20" s="79">
        <f t="shared" si="0"/>
        <v>36.480000000000004</v>
      </c>
      <c r="E20" s="80">
        <v>6.0555000000000001E-3</v>
      </c>
      <c r="F20" s="81">
        <v>2.1022E-4</v>
      </c>
      <c r="G20" s="81">
        <f t="shared" si="1"/>
        <v>2.007453128617409E-3</v>
      </c>
      <c r="H20" s="82">
        <f t="shared" si="2"/>
        <v>7.2268312630226728</v>
      </c>
      <c r="I20" s="83"/>
    </row>
    <row r="21" spans="1:19" ht="15" x14ac:dyDescent="0.25">
      <c r="A21" s="76">
        <v>19</v>
      </c>
      <c r="B21" s="77">
        <v>12</v>
      </c>
      <c r="C21" s="114">
        <v>30</v>
      </c>
      <c r="D21" s="79">
        <f t="shared" si="0"/>
        <v>52.531200000000005</v>
      </c>
      <c r="E21" s="80">
        <v>8.7100000000000007E-3</v>
      </c>
      <c r="F21" s="81">
        <v>3.0237999999999999E-4</v>
      </c>
      <c r="G21" s="81">
        <f t="shared" si="1"/>
        <v>2.8875163027499359E-3</v>
      </c>
      <c r="H21" s="82">
        <f t="shared" si="2"/>
        <v>10.39505868989977</v>
      </c>
      <c r="I21" s="83"/>
    </row>
    <row r="22" spans="1:19" ht="15" x14ac:dyDescent="0.25">
      <c r="A22" s="76">
        <v>19</v>
      </c>
      <c r="B22" s="77">
        <v>12</v>
      </c>
      <c r="C22" s="114">
        <v>35</v>
      </c>
      <c r="D22" s="79">
        <f t="shared" si="0"/>
        <v>71.500799999999998</v>
      </c>
      <c r="E22" s="80">
        <v>1.1861999999999999E-2</v>
      </c>
      <c r="F22" s="81">
        <v>4.1180999999999998E-4</v>
      </c>
      <c r="G22" s="81">
        <f t="shared" si="1"/>
        <v>3.9324958299679141E-3</v>
      </c>
      <c r="H22" s="82">
        <f t="shared" si="2"/>
        <v>14.15698498788449</v>
      </c>
      <c r="I22" s="83"/>
    </row>
    <row r="23" spans="1:19" ht="15.75" thickBot="1" x14ac:dyDescent="0.3">
      <c r="A23" s="115">
        <v>19</v>
      </c>
      <c r="B23" s="116">
        <v>12</v>
      </c>
      <c r="C23" s="117">
        <v>40</v>
      </c>
      <c r="D23" s="118">
        <f t="shared" si="0"/>
        <v>93.388799999999989</v>
      </c>
      <c r="E23" s="119">
        <v>1.5495999999999999E-2</v>
      </c>
      <c r="F23" s="120">
        <v>5.3795000000000004E-4</v>
      </c>
      <c r="G23" s="120">
        <f t="shared" si="1"/>
        <v>5.1370441050595612E-3</v>
      </c>
      <c r="H23" s="121">
        <f t="shared" si="2"/>
        <v>18.493358778214422</v>
      </c>
      <c r="I23" s="122"/>
    </row>
    <row r="24" spans="1:19" x14ac:dyDescent="0.2">
      <c r="I24" s="123"/>
    </row>
    <row r="25" spans="1:19" customFormat="1" x14ac:dyDescent="0.2">
      <c r="A25" s="4"/>
      <c r="B25" s="4"/>
      <c r="C25" s="4"/>
      <c r="D25" s="4"/>
      <c r="E25" s="4"/>
      <c r="F25" s="4"/>
      <c r="G25" s="4"/>
      <c r="H25" s="4"/>
    </row>
    <row r="26" spans="1:19" x14ac:dyDescent="0.2">
      <c r="A26" s="4" t="s">
        <v>131</v>
      </c>
    </row>
    <row r="27" spans="1:19" ht="15" x14ac:dyDescent="0.25">
      <c r="A27" s="124"/>
    </row>
  </sheetData>
  <mergeCells count="1">
    <mergeCell ref="I6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FORCE DEFLECTION</vt:lpstr>
      <vt:lpstr>WIND FORCE DEFLECTION</vt:lpstr>
      <vt:lpstr>a</vt:lpstr>
      <vt:lpstr>b</vt:lpstr>
      <vt:lpstr>D</vt:lpstr>
      <vt:lpstr>Darcsec</vt:lpstr>
      <vt:lpstr>DF</vt:lpstr>
      <vt:lpstr>dia</vt:lpstr>
      <vt:lpstr>Econcrete</vt:lpstr>
      <vt:lpstr>Esteel</vt:lpstr>
      <vt:lpstr>H</vt:lpstr>
      <vt:lpstr>Hdepth</vt:lpstr>
      <vt:lpstr>Ipier</vt:lpstr>
      <vt:lpstr>L</vt:lpstr>
      <vt:lpstr>pi</vt:lpstr>
      <vt:lpstr>Rad</vt:lpstr>
      <vt:lpstr>RF</vt:lpstr>
      <vt:lpstr>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Westergren</dc:creator>
  <cp:lastModifiedBy>Starwood Hotels &amp; Resorts Worldwide, INC.</cp:lastModifiedBy>
  <cp:lastPrinted>2001-10-15T16:32:44Z</cp:lastPrinted>
  <dcterms:created xsi:type="dcterms:W3CDTF">2001-10-15T11:41:43Z</dcterms:created>
  <dcterms:modified xsi:type="dcterms:W3CDTF">2017-03-18T15:14:17Z</dcterms:modified>
</cp:coreProperties>
</file>